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mpd365.sharepoint.com/teams/UPAfase3/Gedeelde documenten/General/2.0 Testtraject/Premieberekening voor SWO's/"/>
    </mc:Choice>
  </mc:AlternateContent>
  <xr:revisionPtr revIDLastSave="169" documentId="8_{B933B114-5907-4D09-8E99-348F100E523F}" xr6:coauthVersionLast="47" xr6:coauthVersionMax="47" xr10:uidLastSave="{B45D8A77-63BB-45A2-959F-EFA09BB58074}"/>
  <bookViews>
    <workbookView xWindow="28680" yWindow="-120" windowWidth="38640" windowHeight="15720" activeTab="2" xr2:uid="{7710E0EE-401F-4A9E-9FFC-15E0977E5EFC}"/>
  </bookViews>
  <sheets>
    <sheet name="Versiebeheer" sheetId="18" r:id="rId1"/>
    <sheet name="TOELICHTING" sheetId="17" r:id="rId2"/>
    <sheet name="1. Premie berekenen" sheetId="9" r:id="rId3"/>
    <sheet name="2. Verlof voorbeelden" sheetId="15" r:id="rId4"/>
    <sheet name="2.1 Verlof premie" sheetId="16" r:id="rId5"/>
    <sheet name="3. Nota (deel Testgroep)" sheetId="7" r:id="rId6"/>
    <sheet name="4. Parameters" sheetId="1" r:id="rId7"/>
    <sheet name="Verlofsoorten" sheetId="12" state="hidden" r:id="rId8"/>
  </sheets>
  <definedNames>
    <definedName name="_xlnm._FilterDatabase" localSheetId="5" hidden="1">'3. Nota (deel Testgroep)'!$A$5:$Y$5</definedName>
    <definedName name="_xlnm._FilterDatabase" localSheetId="6" hidden="1">'4. Parameters'!$A$1:$P$25</definedName>
    <definedName name="KETENTESTJAAR">#REF!</definedName>
    <definedName name="KETENTESTP14WEKEN">#REF!</definedName>
    <definedName name="KETENTESTP14WEKEN_C">#REF!</definedName>
    <definedName name="KETENTESTP1MAAND">#REF!</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ANDP1BEGIN">#REF!</definedName>
    <definedName name="MAANDP1EIND">#REF!</definedName>
    <definedName name="MAANDP2BEGIN">#REF!</definedName>
    <definedName name="MAANDP2EIND">#REF!</definedName>
    <definedName name="Paramaters_2025">'4. Parameters'!$K:$P</definedName>
    <definedName name="RIS_2025data">#REF!</definedName>
    <definedName name="Risdata2024">#REF!</definedName>
    <definedName name="VIERWEKENP1BEGIN">#REF!</definedName>
    <definedName name="VIERWEKENP1EIND">#REF!</definedName>
    <definedName name="VIERWEKENP2BEGIN">#REF!</definedName>
    <definedName name="WerkgeversNummer">'4. Parameters'!$B:$B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9" l="1"/>
  <c r="F35" i="9"/>
  <c r="G35" i="9"/>
  <c r="I29" i="9"/>
  <c r="J29" i="9"/>
  <c r="K29" i="9" s="1"/>
  <c r="O30" i="9"/>
  <c r="D17" i="16"/>
  <c r="D19" i="16" s="1"/>
  <c r="H35" i="9"/>
  <c r="E35" i="9"/>
  <c r="D35" i="9"/>
  <c r="E13" i="9"/>
  <c r="D7" i="9"/>
  <c r="D24" i="16"/>
  <c r="C64" i="15"/>
  <c r="C95" i="15"/>
  <c r="C61" i="15"/>
  <c r="C47" i="15"/>
  <c r="C67" i="15" s="1"/>
  <c r="C45" i="15"/>
  <c r="C63" i="15" s="1"/>
  <c r="C68" i="15" s="1"/>
  <c r="S20" i="7"/>
  <c r="R20" i="7"/>
  <c r="Q20" i="7"/>
  <c r="P20" i="7"/>
  <c r="O20" i="7"/>
  <c r="N20" i="7"/>
  <c r="K20" i="7"/>
  <c r="E20" i="7"/>
  <c r="S18" i="7"/>
  <c r="R18" i="7"/>
  <c r="Q18" i="7"/>
  <c r="P18" i="7"/>
  <c r="O18" i="7"/>
  <c r="N18" i="7"/>
  <c r="K18" i="7"/>
  <c r="E18" i="7"/>
  <c r="S15" i="7"/>
  <c r="R15" i="7"/>
  <c r="Q15" i="7"/>
  <c r="P15" i="7"/>
  <c r="O15" i="7"/>
  <c r="N15" i="7"/>
  <c r="K15" i="7"/>
  <c r="E15" i="7"/>
  <c r="S13" i="7"/>
  <c r="R13" i="7"/>
  <c r="Q13" i="7"/>
  <c r="H13" i="7" s="1"/>
  <c r="P13" i="7"/>
  <c r="O13" i="7"/>
  <c r="N13" i="7"/>
  <c r="K13" i="7"/>
  <c r="E13" i="7"/>
  <c r="S12" i="7"/>
  <c r="R12" i="7"/>
  <c r="Q12" i="7"/>
  <c r="P12" i="7"/>
  <c r="O12" i="7"/>
  <c r="N12" i="7"/>
  <c r="K12" i="7"/>
  <c r="E12" i="7"/>
  <c r="S11" i="7"/>
  <c r="R11" i="7"/>
  <c r="Q11" i="7"/>
  <c r="I11" i="7" s="1"/>
  <c r="P11" i="7"/>
  <c r="O11" i="7"/>
  <c r="N11" i="7"/>
  <c r="K11" i="7"/>
  <c r="E11" i="7"/>
  <c r="S10" i="7"/>
  <c r="R10" i="7"/>
  <c r="Q10" i="7"/>
  <c r="H10" i="7" s="1"/>
  <c r="P10" i="7"/>
  <c r="O10" i="7"/>
  <c r="N10" i="7"/>
  <c r="K10" i="7"/>
  <c r="E10" i="7"/>
  <c r="C93" i="15"/>
  <c r="C96" i="15" s="1"/>
  <c r="C79" i="15"/>
  <c r="C76" i="15"/>
  <c r="C31" i="16"/>
  <c r="D31" i="16" s="1"/>
  <c r="E22" i="16"/>
  <c r="D14" i="16"/>
  <c r="E15" i="16" s="1"/>
  <c r="C14" i="15"/>
  <c r="C32" i="15" s="1"/>
  <c r="C37" i="15" s="1"/>
  <c r="J8" i="16"/>
  <c r="J7" i="16"/>
  <c r="J6" i="16"/>
  <c r="D8" i="16"/>
  <c r="G8" i="16"/>
  <c r="G7" i="16"/>
  <c r="G5" i="16"/>
  <c r="I4" i="16"/>
  <c r="C16" i="15"/>
  <c r="C17" i="15" s="1"/>
  <c r="C20" i="15" s="1"/>
  <c r="C23" i="15" s="1"/>
  <c r="C24" i="15" s="1"/>
  <c r="C30" i="15"/>
  <c r="C33" i="15" s="1"/>
  <c r="L29" i="9" l="1"/>
  <c r="K35" i="9"/>
  <c r="D15" i="16"/>
  <c r="D27" i="16" s="1"/>
  <c r="D28" i="16" s="1"/>
  <c r="D29" i="16" s="1"/>
  <c r="D34" i="16" s="1"/>
  <c r="J35" i="9"/>
  <c r="I35" i="9"/>
  <c r="H20" i="7"/>
  <c r="T20" i="7" s="1"/>
  <c r="V20" i="7" s="1"/>
  <c r="X20" i="7" s="1"/>
  <c r="H18" i="7"/>
  <c r="U20" i="7"/>
  <c r="H15" i="7"/>
  <c r="T15" i="7" s="1"/>
  <c r="I20" i="7"/>
  <c r="I18" i="7"/>
  <c r="C100" i="15"/>
  <c r="C48" i="15"/>
  <c r="C51" i="15" s="1"/>
  <c r="C54" i="15" s="1"/>
  <c r="C55" i="15" s="1"/>
  <c r="C65" i="15" s="1"/>
  <c r="C99" i="15"/>
  <c r="D38" i="16"/>
  <c r="D37" i="16"/>
  <c r="H12" i="7"/>
  <c r="T12" i="7" s="1"/>
  <c r="T18" i="7"/>
  <c r="U18" i="7"/>
  <c r="U12" i="7"/>
  <c r="I13" i="7"/>
  <c r="U15" i="7"/>
  <c r="I15" i="7"/>
  <c r="I12" i="7"/>
  <c r="T10" i="7"/>
  <c r="H11" i="7"/>
  <c r="T11" i="7" s="1"/>
  <c r="T13" i="7"/>
  <c r="U13" i="7"/>
  <c r="U11" i="7"/>
  <c r="I10" i="7"/>
  <c r="U10" i="7"/>
  <c r="C80" i="15"/>
  <c r="C83" i="15" s="1"/>
  <c r="C86" i="15" s="1"/>
  <c r="C87" i="15" s="1"/>
  <c r="C97" i="15" s="1"/>
  <c r="C36" i="15"/>
  <c r="C34" i="15"/>
  <c r="M29" i="9" l="1"/>
  <c r="L35" i="9"/>
  <c r="D39" i="16"/>
  <c r="D40" i="16" s="1"/>
  <c r="V12" i="7"/>
  <c r="X12" i="7" s="1"/>
  <c r="V18" i="7"/>
  <c r="X18" i="7" s="1"/>
  <c r="V15" i="7"/>
  <c r="X15" i="7" s="1"/>
  <c r="V10" i="7"/>
  <c r="X10" i="7" s="1"/>
  <c r="V11" i="7"/>
  <c r="X11" i="7" s="1"/>
  <c r="V13" i="7"/>
  <c r="X13" i="7" s="1"/>
  <c r="M35" i="9" l="1"/>
  <c r="N29" i="9"/>
  <c r="K7" i="7"/>
  <c r="K8" i="7"/>
  <c r="K9" i="7"/>
  <c r="K14" i="7"/>
  <c r="K16" i="7"/>
  <c r="K17" i="7"/>
  <c r="K19" i="7"/>
  <c r="K21" i="7"/>
  <c r="K6" i="7"/>
  <c r="Q7" i="7"/>
  <c r="R7" i="7"/>
  <c r="Q8" i="7"/>
  <c r="R8" i="7"/>
  <c r="Q9" i="7"/>
  <c r="R9" i="7"/>
  <c r="Q14" i="7"/>
  <c r="R14" i="7"/>
  <c r="Q16" i="7"/>
  <c r="R16" i="7"/>
  <c r="Q17" i="7"/>
  <c r="R17" i="7"/>
  <c r="Q19" i="7"/>
  <c r="R19" i="7"/>
  <c r="Q21" i="7"/>
  <c r="R21" i="7"/>
  <c r="R6" i="7"/>
  <c r="Q6" i="7"/>
  <c r="P7" i="7"/>
  <c r="P8" i="7"/>
  <c r="P9" i="7"/>
  <c r="P14" i="7"/>
  <c r="P16" i="7"/>
  <c r="P17" i="7"/>
  <c r="P19" i="7"/>
  <c r="P21" i="7"/>
  <c r="P6" i="7"/>
  <c r="O7" i="7"/>
  <c r="O8" i="7"/>
  <c r="O9" i="7"/>
  <c r="O14" i="7"/>
  <c r="O16" i="7"/>
  <c r="O17" i="7"/>
  <c r="O19" i="7"/>
  <c r="O21" i="7"/>
  <c r="O6" i="7"/>
  <c r="N7" i="7"/>
  <c r="N8" i="7"/>
  <c r="N9" i="7"/>
  <c r="N14" i="7"/>
  <c r="N16" i="7"/>
  <c r="N17" i="7"/>
  <c r="N19" i="7"/>
  <c r="N21" i="7"/>
  <c r="N6" i="7"/>
  <c r="G11" i="9"/>
  <c r="G10" i="9"/>
  <c r="G9" i="9"/>
  <c r="I3" i="9"/>
  <c r="G7" i="9"/>
  <c r="G6" i="9"/>
  <c r="G4" i="9"/>
  <c r="N35" i="9" l="1"/>
  <c r="O29" i="9"/>
  <c r="O35" i="9" s="1"/>
  <c r="E32" i="9"/>
  <c r="I32" i="9"/>
  <c r="D32" i="9"/>
  <c r="M32" i="9"/>
  <c r="F32" i="9"/>
  <c r="K32" i="9"/>
  <c r="H32" i="9"/>
  <c r="N32" i="9"/>
  <c r="J32" i="9"/>
  <c r="G32" i="9"/>
  <c r="L32" i="9"/>
  <c r="O17" i="9"/>
  <c r="O20" i="9" s="1"/>
  <c r="N17" i="9"/>
  <c r="N20" i="9" s="1"/>
  <c r="J17" i="9"/>
  <c r="J20" i="9" s="1"/>
  <c r="I17" i="9"/>
  <c r="I20" i="9" s="1"/>
  <c r="F17" i="9"/>
  <c r="F20" i="9" s="1"/>
  <c r="E17" i="9"/>
  <c r="E20" i="9" s="1"/>
  <c r="D17" i="9"/>
  <c r="D20" i="9" s="1"/>
  <c r="M17" i="9"/>
  <c r="M20" i="9" s="1"/>
  <c r="K17" i="9"/>
  <c r="K20" i="9" s="1"/>
  <c r="H17" i="9"/>
  <c r="H20" i="9" s="1"/>
  <c r="L17" i="9"/>
  <c r="L20" i="9" s="1"/>
  <c r="G17" i="9"/>
  <c r="G20" i="9" s="1"/>
  <c r="E38" i="9"/>
  <c r="F38" i="9"/>
  <c r="G38" i="9"/>
  <c r="H38" i="9"/>
  <c r="I38" i="9"/>
  <c r="J38" i="9"/>
  <c r="K38" i="9"/>
  <c r="L38" i="9"/>
  <c r="M38" i="9"/>
  <c r="N38" i="9"/>
  <c r="O38" i="9"/>
  <c r="D38" i="9"/>
  <c r="E23" i="9"/>
  <c r="F23" i="9"/>
  <c r="G23" i="9"/>
  <c r="H23" i="9"/>
  <c r="I23" i="9"/>
  <c r="J23" i="9"/>
  <c r="K23" i="9"/>
  <c r="L23" i="9"/>
  <c r="M23" i="9"/>
  <c r="N23" i="9"/>
  <c r="O23" i="9"/>
  <c r="D23" i="9"/>
  <c r="O32" i="9" l="1"/>
  <c r="D18" i="9"/>
  <c r="O33" i="9"/>
  <c r="K33" i="9"/>
  <c r="J33" i="9"/>
  <c r="I33" i="9"/>
  <c r="L33" i="9"/>
  <c r="D33" i="9"/>
  <c r="H33" i="9"/>
  <c r="G33" i="9"/>
  <c r="N33" i="9"/>
  <c r="F33" i="9"/>
  <c r="M33" i="9"/>
  <c r="E33" i="9"/>
  <c r="E18" i="9"/>
  <c r="F18" i="9" l="1"/>
  <c r="G18" i="9" l="1"/>
  <c r="H18" i="9" l="1"/>
  <c r="I18" i="9" l="1"/>
  <c r="J18" i="9" l="1"/>
  <c r="K18" i="9" l="1"/>
  <c r="L18" i="9" l="1"/>
  <c r="M18" i="9" l="1"/>
  <c r="N18" i="9" l="1"/>
  <c r="O18" i="9" l="1"/>
  <c r="D8" i="9" l="1"/>
  <c r="J19" i="9" l="1"/>
  <c r="I19" i="9"/>
  <c r="O19" i="9"/>
  <c r="N19" i="9"/>
  <c r="F19" i="9"/>
  <c r="G19" i="9"/>
  <c r="M19" i="9"/>
  <c r="E19" i="9"/>
  <c r="K19" i="9"/>
  <c r="H19" i="9"/>
  <c r="L19" i="9"/>
  <c r="D24" i="9"/>
  <c r="D19" i="9"/>
  <c r="D21" i="9" s="1"/>
  <c r="S8" i="7"/>
  <c r="S9" i="7"/>
  <c r="S14" i="7"/>
  <c r="S16" i="7"/>
  <c r="S17" i="7"/>
  <c r="I19" i="7"/>
  <c r="S19" i="7"/>
  <c r="I21" i="7"/>
  <c r="S21" i="7"/>
  <c r="E21" i="7"/>
  <c r="U21" i="7" s="1"/>
  <c r="E19" i="7"/>
  <c r="E17" i="7"/>
  <c r="U17" i="7" s="1"/>
  <c r="E16" i="7"/>
  <c r="U16" i="7" s="1"/>
  <c r="E14" i="7"/>
  <c r="E9" i="7"/>
  <c r="U9" i="7" s="1"/>
  <c r="E8" i="7"/>
  <c r="E7" i="7"/>
  <c r="U7" i="7" s="1"/>
  <c r="E6" i="7"/>
  <c r="I6" i="7"/>
  <c r="E21" i="9" l="1"/>
  <c r="F21" i="9" s="1"/>
  <c r="G21" i="9" s="1"/>
  <c r="H21" i="9" s="1"/>
  <c r="I21" i="9" s="1"/>
  <c r="J21" i="9" s="1"/>
  <c r="K21" i="9" s="1"/>
  <c r="L21" i="9" s="1"/>
  <c r="M21" i="9" s="1"/>
  <c r="N21" i="9" s="1"/>
  <c r="O21" i="9" s="1"/>
  <c r="U8" i="7"/>
  <c r="U14" i="7"/>
  <c r="E24" i="9"/>
  <c r="F24" i="9" s="1"/>
  <c r="G24" i="9" s="1"/>
  <c r="H24" i="9" s="1"/>
  <c r="I24" i="9" s="1"/>
  <c r="J24" i="9" s="1"/>
  <c r="K24" i="9" s="1"/>
  <c r="L24" i="9" s="1"/>
  <c r="M24" i="9" s="1"/>
  <c r="N24" i="9" s="1"/>
  <c r="O24" i="9" s="1"/>
  <c r="D39" i="9"/>
  <c r="D34" i="9"/>
  <c r="D36" i="9" s="1"/>
  <c r="H8" i="7"/>
  <c r="T8" i="7" s="1"/>
  <c r="H17" i="7"/>
  <c r="T17" i="7" s="1"/>
  <c r="V17" i="7" s="1"/>
  <c r="H16" i="7"/>
  <c r="T16" i="7" s="1"/>
  <c r="V16" i="7" s="1"/>
  <c r="X16" i="7" s="1"/>
  <c r="H9" i="7"/>
  <c r="T9" i="7" s="1"/>
  <c r="V9" i="7" s="1"/>
  <c r="X9" i="7" s="1"/>
  <c r="H7" i="7"/>
  <c r="H19" i="7"/>
  <c r="T19" i="7" s="1"/>
  <c r="I16" i="7"/>
  <c r="I7" i="7"/>
  <c r="I17" i="7"/>
  <c r="I9" i="7"/>
  <c r="H14" i="7"/>
  <c r="T14" i="7" s="1"/>
  <c r="I14" i="7"/>
  <c r="H21" i="7"/>
  <c r="T21" i="7" s="1"/>
  <c r="V21" i="7" s="1"/>
  <c r="X21" i="7" s="1"/>
  <c r="I8" i="7"/>
  <c r="U19" i="7"/>
  <c r="U6" i="7"/>
  <c r="H6" i="7"/>
  <c r="T6" i="7" l="1"/>
  <c r="V6" i="7" s="1"/>
  <c r="X6" i="7" s="1"/>
  <c r="S6" i="7"/>
  <c r="T7" i="7"/>
  <c r="S7" i="7"/>
  <c r="X17" i="7"/>
  <c r="V14" i="7"/>
  <c r="X14" i="7" s="1"/>
  <c r="V8" i="7"/>
  <c r="X8" i="7" s="1"/>
  <c r="E34" i="9"/>
  <c r="E36" i="9" s="1"/>
  <c r="E39" i="9"/>
  <c r="V19" i="7"/>
  <c r="X19" i="7" s="1"/>
  <c r="V7" i="7" l="1"/>
  <c r="X7" i="7" s="1"/>
  <c r="F39" i="9"/>
  <c r="F34" i="9"/>
  <c r="F36" i="9" s="1"/>
  <c r="G39" i="9" l="1"/>
  <c r="G34" i="9"/>
  <c r="G36" i="9" s="1"/>
  <c r="H39" i="9" l="1"/>
  <c r="H34" i="9"/>
  <c r="H36" i="9" s="1"/>
  <c r="I34" i="9" l="1"/>
  <c r="I36" i="9" s="1"/>
  <c r="I39" i="9"/>
  <c r="J34" i="9" l="1"/>
  <c r="J36" i="9" s="1"/>
  <c r="J39" i="9"/>
  <c r="K34" i="9" l="1"/>
  <c r="K36" i="9" s="1"/>
  <c r="K39" i="9"/>
  <c r="L39" i="9" l="1"/>
  <c r="L34" i="9"/>
  <c r="L36" i="9" s="1"/>
  <c r="M34" i="9" l="1"/>
  <c r="M36" i="9" s="1"/>
  <c r="M39" i="9"/>
  <c r="N39" i="9" l="1"/>
  <c r="N34" i="9"/>
  <c r="N36" i="9" s="1"/>
  <c r="O34" i="9"/>
  <c r="O36" i="9" l="1"/>
  <c r="O3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tc={A4E02B0C-A2C6-4C4C-B59D-46F92A8CDEE8}</author>
    <author>tc={72DA6920-4072-4FA4-9DB3-F339EFAC3C60}</author>
    <author>tc={C0A37630-11D3-4A94-AB44-443D320684EE}</author>
    <author>tc={1664C395-A618-48EF-9B08-486D4D78A067}</author>
    <author>tc={C4D177A3-3178-47C8-8DAC-777D2B113D44}</author>
    <author>tc={F469CD1A-7392-4F0C-9F8B-26CAB0111403}</author>
  </authors>
  <commentList>
    <comment ref="B3" authorId="0" shapeId="0" xr:uid="{A4E02B0C-A2C6-4C4C-B59D-46F92A8CDEE8}">
      <text>
        <t>[Opmerkingenthread]
U kunt deze opmerkingenthread lezen in uw versie van Excel. Eventuele wijzigingen aan de thread gaan echter verloren als het bestand wordt geopend in een nieuwere versie van Excel. Meer informatie: https://go.microsoft.com/fwlink/?linkid=870924
Opmerking:
    Clusternummer RIS TEST is 5313</t>
      </text>
    </comment>
    <comment ref="B4" authorId="1" shapeId="0" xr:uid="{72DA6920-4072-4FA4-9DB3-F339EFAC3C60}">
      <text>
        <t>[Opmerkingenthread]
U kunt deze opmerkingenthread lezen in uw versie van Excel. Eventuele wijzigingen aan de thread gaan echter verloren als het bestand wordt geopend in een nieuwere versie van Excel. Meer informatie: https://go.microsoft.com/fwlink/?linkid=870924
Opmerking:
    Clusternummer RIS test is 5313</t>
      </text>
    </comment>
    <comment ref="B17" authorId="2" shapeId="0" xr:uid="{C0A37630-11D3-4A94-AB44-443D320684EE}">
      <text>
        <t>[Opmerkingenthread]
U kunt deze opmerkingenthread lezen in uw versie van Excel. Eventuele wijzigingen aan de thread gaan echter verloren als het bestand wordt geopend in een nieuwere versie van Excel. Meer informatie: https://go.microsoft.com/fwlink/?linkid=870924
Opmerking:
    Clusternummer is 5311
Beantwoorden:
    Aanlevering op eigen LH-nummer, dus geen afwijkende situatie.</t>
      </text>
    </comment>
    <comment ref="B18" authorId="3" shapeId="0" xr:uid="{1664C395-A618-48EF-9B08-486D4D78A067}">
      <text>
        <t>[Opmerkingenthread]
U kunt deze opmerkingenthread lezen in uw versie van Excel. Eventuele wijzigingen aan de thread gaan echter verloren als het bestand wordt geopend in een nieuwere versie van Excel. Meer informatie: https://go.microsoft.com/fwlink/?linkid=870924
Opmerking:
    Clusternummer is 5311. Aanlevering op eigen LH-nummer, dus geen afwijkende situatie.</t>
      </text>
    </comment>
    <comment ref="B19" authorId="4" shapeId="0" xr:uid="{C4D177A3-3178-47C8-8DAC-777D2B113D44}">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Onderliggend contractnummer is 5330. Aanlevering gaat plaatsvinden op clusternummer 5312. 5330 en 5331 hebben beide hetzelfde LH-nummer! Bijzondere situatie.
</t>
      </text>
    </comment>
    <comment ref="B20" authorId="5" shapeId="0" xr:uid="{F469CD1A-7392-4F0C-9F8B-26CAB0111403}">
      <text>
        <t>[Opmerkingenthread]
U kunt deze opmerkingenthread lezen in uw versie van Excel. Eventuele wijzigingen aan de thread gaan echter verloren als het bestand wordt geopend in een nieuwere versie van Excel. Meer informatie: https://go.microsoft.com/fwlink/?linkid=870924
Opmerking:
    Onderliggend contractnummer is 5331. Aanlevering gaat plaatsvinden op clusternummer 5312. 5330 en 5331 hebben beide hetzelfde LH-nummer! Bijzondere situatie.</t>
      </text>
    </comment>
  </commentList>
</comments>
</file>

<file path=xl/sharedStrings.xml><?xml version="1.0" encoding="utf-8"?>
<sst xmlns="http://schemas.openxmlformats.org/spreadsheetml/2006/main" count="473" uniqueCount="271">
  <si>
    <t>Premieberekening zoals op nota</t>
  </si>
  <si>
    <t>Jaar van berekening</t>
  </si>
  <si>
    <t>Alleen de gele velden vullen. De overige velden worden automatisch berekend</t>
  </si>
  <si>
    <t>Naam testpersoon</t>
  </si>
  <si>
    <t>BSN</t>
  </si>
  <si>
    <t>Periode start</t>
  </si>
  <si>
    <t>Periode einde</t>
  </si>
  <si>
    <t>Aantal dagen</t>
  </si>
  <si>
    <t>JaarSalaris</t>
  </si>
  <si>
    <t>Parttimebreuk</t>
  </si>
  <si>
    <t>Grondslag</t>
  </si>
  <si>
    <t>Premiegrondslag per maand</t>
  </si>
  <si>
    <t>Werkgevernummer:</t>
  </si>
  <si>
    <t>Soort regeling</t>
  </si>
  <si>
    <t>Aspirant?</t>
  </si>
  <si>
    <t>Premievrijstelling%</t>
  </si>
  <si>
    <t>Premie % aspirant</t>
  </si>
  <si>
    <t>% over grondslag</t>
  </si>
  <si>
    <t>% AOP</t>
  </si>
  <si>
    <t>Franchise</t>
  </si>
  <si>
    <t>Maximum jaarloon</t>
  </si>
  <si>
    <t>Aspirant Premie obv % over grondslag (per maand)</t>
  </si>
  <si>
    <t>Premie obv % over grondslag (per maand)</t>
  </si>
  <si>
    <t>Premie obv % AOP</t>
  </si>
  <si>
    <t>Totale premie</t>
  </si>
  <si>
    <t>Aantal perioden</t>
  </si>
  <si>
    <t>premie per aantal opgegeven perioden</t>
  </si>
  <si>
    <t>Opmerking</t>
  </si>
  <si>
    <t>J.C. Aerdenhout</t>
  </si>
  <si>
    <t>Nee</t>
  </si>
  <si>
    <t>I.K.R. Bergeijk</t>
  </si>
  <si>
    <t>J.C. Breda</t>
  </si>
  <si>
    <t>J.C. Coevorden</t>
  </si>
  <si>
    <t>P.N.B. Etten-Leur</t>
  </si>
  <si>
    <t>J.C. Exloërmond</t>
  </si>
  <si>
    <t>P.N.B. Faan</t>
  </si>
  <si>
    <t>I.K.R. Fluitenberg</t>
  </si>
  <si>
    <t>L. Ijmuiden</t>
  </si>
  <si>
    <t>J.C. Pieterburen</t>
  </si>
  <si>
    <t>L. Vreeland</t>
  </si>
  <si>
    <t xml:space="preserve"> </t>
  </si>
  <si>
    <t>Deelnemergegevens</t>
  </si>
  <si>
    <t>Werkgever</t>
  </si>
  <si>
    <t>Naam</t>
  </si>
  <si>
    <t>TEST</t>
  </si>
  <si>
    <t>Ja</t>
  </si>
  <si>
    <t>Dossiernummer</t>
  </si>
  <si>
    <t>Jaar berekening</t>
  </si>
  <si>
    <t>Geboortedatum</t>
  </si>
  <si>
    <t>Max loon</t>
  </si>
  <si>
    <t>Datum 68-jaar</t>
  </si>
  <si>
    <t>staffel</t>
  </si>
  <si>
    <t>Aspirant</t>
  </si>
  <si>
    <t>Premie-% Aspirant</t>
  </si>
  <si>
    <t>Premie-% grondslag</t>
  </si>
  <si>
    <t>Deelname</t>
  </si>
  <si>
    <t>Premie-% AOP</t>
  </si>
  <si>
    <t>Jaarsalaris</t>
  </si>
  <si>
    <t>Parttimegraad</t>
  </si>
  <si>
    <t>Premie berekening</t>
  </si>
  <si>
    <t>Januari</t>
  </si>
  <si>
    <t>Februari</t>
  </si>
  <si>
    <t>Maart</t>
  </si>
  <si>
    <t>April</t>
  </si>
  <si>
    <t>Mei</t>
  </si>
  <si>
    <t>Juni</t>
  </si>
  <si>
    <t>Juli</t>
  </si>
  <si>
    <t>Augustus</t>
  </si>
  <si>
    <t>September</t>
  </si>
  <si>
    <t>Oktober</t>
  </si>
  <si>
    <t>November</t>
  </si>
  <si>
    <t>December</t>
  </si>
  <si>
    <t>per maand</t>
  </si>
  <si>
    <t>Premiebedrag reguliere deelnemer</t>
  </si>
  <si>
    <t>Premie totaal</t>
  </si>
  <si>
    <t>Cumulatief voor regulier</t>
  </si>
  <si>
    <t>Premiebedrag Aspirant deelnemer</t>
  </si>
  <si>
    <t>Cumulatief voor aspirant</t>
  </si>
  <si>
    <t>BEREKENING MET SALARISWIJZIGINGEN EN PARTTIMEGRAAD ZOALS ZELF DOORGEVOERD</t>
  </si>
  <si>
    <t>Input</t>
  </si>
  <si>
    <t>Jaarsalaris in periode</t>
  </si>
  <si>
    <t>Parttimepercentage in periode</t>
  </si>
  <si>
    <t>Loonheffingennummer</t>
  </si>
  <si>
    <t>Contractnummer</t>
  </si>
  <si>
    <t>Naam Testwerkgever</t>
  </si>
  <si>
    <t>Franchise 2024</t>
  </si>
  <si>
    <t>Franchise 2025</t>
  </si>
  <si>
    <t>660000003L03</t>
  </si>
  <si>
    <t>Test_WG1</t>
  </si>
  <si>
    <t>PNO1</t>
  </si>
  <si>
    <t>660000015L32</t>
  </si>
  <si>
    <t>Test_WG2</t>
  </si>
  <si>
    <t>Test_WG3</t>
  </si>
  <si>
    <t>PNO2</t>
  </si>
  <si>
    <t>660000003L04</t>
  </si>
  <si>
    <t>Test_WG4</t>
  </si>
  <si>
    <t>660000015L06</t>
  </si>
  <si>
    <t>Test_WG5</t>
  </si>
  <si>
    <t>F&amp;B</t>
  </si>
  <si>
    <t>660000003L05</t>
  </si>
  <si>
    <t>Test_WG6</t>
  </si>
  <si>
    <t>660000015L07</t>
  </si>
  <si>
    <t>Test_WG7</t>
  </si>
  <si>
    <t>PNO4</t>
  </si>
  <si>
    <t>660000015L21</t>
  </si>
  <si>
    <t>Test_WG8</t>
  </si>
  <si>
    <t>660000015L12</t>
  </si>
  <si>
    <t>Test_WG9</t>
  </si>
  <si>
    <t>660000015L13</t>
  </si>
  <si>
    <t>Test_WG10</t>
  </si>
  <si>
    <t xml:space="preserve">660000015L22 </t>
  </si>
  <si>
    <t>Test_WG11</t>
  </si>
  <si>
    <t>660000015L23</t>
  </si>
  <si>
    <t>Test_WG12</t>
  </si>
  <si>
    <t>660000015L24</t>
  </si>
  <si>
    <t>Test_WG13</t>
  </si>
  <si>
    <t>660000015L25</t>
  </si>
  <si>
    <t>Test_WG14</t>
  </si>
  <si>
    <t>660000015L26</t>
  </si>
  <si>
    <t>Test_WG15</t>
  </si>
  <si>
    <t>660000015L27</t>
  </si>
  <si>
    <t>Test_WG16</t>
  </si>
  <si>
    <t>Test_WG17</t>
  </si>
  <si>
    <t>660000015L29</t>
  </si>
  <si>
    <t>Test_WG18</t>
  </si>
  <si>
    <t>Test_WG19</t>
  </si>
  <si>
    <t>660000015L14</t>
  </si>
  <si>
    <t>Test_WG20</t>
  </si>
  <si>
    <t>660000015L10</t>
  </si>
  <si>
    <t>Test_WG21</t>
  </si>
  <si>
    <t>660000015L18</t>
  </si>
  <si>
    <t>Test_WG22</t>
  </si>
  <si>
    <t>660000015L19</t>
  </si>
  <si>
    <t>Test_WG23</t>
  </si>
  <si>
    <t>Test_WG-K&amp;FV</t>
  </si>
  <si>
    <t>2024_KFVP</t>
  </si>
  <si>
    <t>2025_KFVP</t>
  </si>
  <si>
    <t>Afkorting</t>
  </si>
  <si>
    <t>Volledige naam</t>
  </si>
  <si>
    <t>LLP</t>
  </si>
  <si>
    <t>Levensloopverlof</t>
  </si>
  <si>
    <t>OSP</t>
  </si>
  <si>
    <t>Onbetaald ouderschapsverlof</t>
  </si>
  <si>
    <t>OBD</t>
  </si>
  <si>
    <t>Onbetaald verlof</t>
  </si>
  <si>
    <t>SBL</t>
  </si>
  <si>
    <t>Sabbatical leave</t>
  </si>
  <si>
    <t>ONB</t>
  </si>
  <si>
    <t>Verlofsoort onbekend</t>
  </si>
  <si>
    <t>STV</t>
  </si>
  <si>
    <t>Studieverlof</t>
  </si>
  <si>
    <t>AGV</t>
  </si>
  <si>
    <t>Aanvullend geboorteverlof</t>
  </si>
  <si>
    <t>BOV</t>
  </si>
  <si>
    <t>Betaald ouderschapsverlof</t>
  </si>
  <si>
    <t>OLZ</t>
  </si>
  <si>
    <t>Onbetaald langdurend zorgverlof</t>
  </si>
  <si>
    <t>Regelingloon</t>
  </si>
  <si>
    <t>Verlof in %</t>
  </si>
  <si>
    <t>Premie voor dit % betalen</t>
  </si>
  <si>
    <t>Uren voor premie</t>
  </si>
  <si>
    <t>Regelingloon verwacht obv ouderschapsverlof</t>
  </si>
  <si>
    <t>Uitgangspunten</t>
  </si>
  <si>
    <t>Reguliere salaris per maand</t>
  </si>
  <si>
    <t>Regelingloon verwacht</t>
  </si>
  <si>
    <t>Jaarsalaris obv regelingloon</t>
  </si>
  <si>
    <t>Pensioengrondslag</t>
  </si>
  <si>
    <t xml:space="preserve">Premiepercentage </t>
  </si>
  <si>
    <t>VERLOF</t>
  </si>
  <si>
    <t>Verlof gegevens</t>
  </si>
  <si>
    <t>Normuren</t>
  </si>
  <si>
    <t>Maximum uren per periode</t>
  </si>
  <si>
    <t>AantVerlUPens verwacht</t>
  </si>
  <si>
    <t>Salaris per maand voor verlof</t>
  </si>
  <si>
    <t>Verlof</t>
  </si>
  <si>
    <t>% Eindejaarsuitkering</t>
  </si>
  <si>
    <t>% Vakantiegeld</t>
  </si>
  <si>
    <t>Salaris incl VT en EJ</t>
  </si>
  <si>
    <t>Salaris per jaar</t>
  </si>
  <si>
    <t>Aantal reguliere uren in periode</t>
  </si>
  <si>
    <t>Aantal uren</t>
  </si>
  <si>
    <t>Soort verlof 1</t>
  </si>
  <si>
    <t>Omschrijving</t>
  </si>
  <si>
    <t>Verlofsoort 1</t>
  </si>
  <si>
    <t>Premie te betalen door WG/WN</t>
  </si>
  <si>
    <t>Uren waarover premie te betalen</t>
  </si>
  <si>
    <t>Verwachte gegevens in UPA</t>
  </si>
  <si>
    <t>Uen voor regeling</t>
  </si>
  <si>
    <t>Opslag ivm vakantiegeld 8% en eindejaarsuitkering 5,4%</t>
  </si>
  <si>
    <t>Premie per maand zonder rekening te houdne met verlof</t>
  </si>
  <si>
    <t>uren onbetaald ouderschapsverlof (uren in periode)</t>
  </si>
  <si>
    <t>uren betaald ouderschapsverlof (uren in periode)</t>
  </si>
  <si>
    <t>Uren voor premie (exclusief ouderschapsverlof uren)</t>
  </si>
  <si>
    <t>De deelnemer houdt volledige opbouw bij ouderschapsverlof daarom ook loon doorgeven alsof er geen ouderschapsverlof is opgenomen</t>
  </si>
  <si>
    <t>De deelnemer houdt volledige opbouw bij ouderschapsverlof daarom ook uren doorgeven alsof er geen ouderschapsverlof is opgenomen</t>
  </si>
  <si>
    <t>uren onbetaaldverlof (uren in periode)</t>
  </si>
  <si>
    <t>Premie per maand zonder rekening te houden met verlof</t>
  </si>
  <si>
    <t>Premie te betalen rekening houdend met verlof</t>
  </si>
  <si>
    <t>In het regelingloon wordt alleen het daadwerkelijk ontvangen loon opgenomen</t>
  </si>
  <si>
    <t>In de uren voor regeling worden alleen de daadwerkelijk gewerkte uren doorgegeven</t>
  </si>
  <si>
    <t>I.K.R. Doorn</t>
  </si>
  <si>
    <t>I.K.R. Doornenburg</t>
  </si>
  <si>
    <t>L. Duiven</t>
  </si>
  <si>
    <t>L. Jaarsveld</t>
  </si>
  <si>
    <t>L. Rockanje</t>
  </si>
  <si>
    <t>Voorbeeld</t>
  </si>
  <si>
    <t xml:space="preserve">Maximum aantal uren </t>
  </si>
  <si>
    <t>Premiebedrag Totaal voor WN</t>
  </si>
  <si>
    <t>Premie voor rekening fonds</t>
  </si>
  <si>
    <t>Normale werkuren</t>
  </si>
  <si>
    <t>Alleen gele velden vullen</t>
  </si>
  <si>
    <r>
      <t xml:space="preserve">Voorbeeld aanlevering en premieberekening bij verlof voor PNO regelingen - </t>
    </r>
    <r>
      <rPr>
        <b/>
        <sz val="16"/>
        <rFont val="Segoe UI"/>
        <family val="2"/>
      </rPr>
      <t>NIET K&amp;FV</t>
    </r>
  </si>
  <si>
    <t>Verlof voorbeeld niet K&amp;FV</t>
  </si>
  <si>
    <t>TOELICHTING bij berekeningssheet Premie PNO media</t>
  </si>
  <si>
    <t>Tabblad</t>
  </si>
  <si>
    <t>Premie berekenen</t>
  </si>
  <si>
    <t>Functie</t>
  </si>
  <si>
    <t>Dit kan voor diverse werkgevers/regelingsoorten worden gedaan.</t>
  </si>
  <si>
    <t>Daarnaast kan er voor elke periode een aparte premie en of parttimegraad door het jaar gebruikt worden</t>
  </si>
  <si>
    <t>Hoe te gebruiken</t>
  </si>
  <si>
    <t>Selecteer daarna het jaar van berekening (voor de test van start UPA per 1-1-2026 het jaar 2025 hanteren). 2024 was voor intern testwerk</t>
  </si>
  <si>
    <t>Vul hierna de gele velden. De niet gele velden bevatten formules waarmee berekeningen worden gemaakt.</t>
  </si>
  <si>
    <t>Als er sprake is van een aspirant deelnemer, dan kan het veld Aspirant op deelnemer op Ja gezet worden. Er worden dan extra velden berekend.</t>
  </si>
  <si>
    <t>In dit tabblad kan voor een deelnemer de premie voor het hele jaar gebaseerd op een gelijkblijvend salaris berekend worden</t>
  </si>
  <si>
    <t>Selecteer allereerst de gewenste werkgever.</t>
  </si>
  <si>
    <t>AOW-leeftijd (huidige regelgeving)</t>
  </si>
  <si>
    <t>De gegevens die gehanteerd worden voor de berekening worden opgehaald uit het tabblad parameters. Daar kan als nodig een wijziging van bv het  premiepercentage worden doorgevoerd.</t>
  </si>
  <si>
    <t>BELANGRIJK: alleen de gele velden vullen. In de andere velden zitten formules die automatisch berekeningen maken. Voor aanpassingen graag een e-mail naar UPA@PNOmedia.nl</t>
  </si>
  <si>
    <t>Verlof voorbeelden</t>
  </si>
  <si>
    <t>Verlof premie</t>
  </si>
  <si>
    <t>Parameters</t>
  </si>
  <si>
    <t>In dit tabblad staan per werkgever en per jaar de parameters opgenomen.</t>
  </si>
  <si>
    <t>Als gewenst kan er hier onderaan de lijst een werkgever toegevoegd of een werkgever aangepast worden. Vul alle velden zoals de voorgaande gevallen. Daarna is de werkgever beschikbaar in de keuze lijst op de berekeningstabbladen.</t>
  </si>
  <si>
    <t>In dit tabblad is voor een deel van de testgroep de nota zoals deze door PNO media opgesteld gaat worden nagemaakt.</t>
  </si>
  <si>
    <t xml:space="preserve">Vul hier de gele velden. </t>
  </si>
  <si>
    <t>Met behulp van het werkgeversnummer worden de te hanteren paramters opgehaald die bij de werkgever/sector horen.</t>
  </si>
  <si>
    <r>
      <t xml:space="preserve">Als er sprake is van een </t>
    </r>
    <r>
      <rPr>
        <b/>
        <sz val="11"/>
        <color theme="1"/>
        <rFont val="Aptos Narrow"/>
        <family val="2"/>
        <scheme val="minor"/>
      </rPr>
      <t>aspirant deelnemer</t>
    </r>
    <r>
      <rPr>
        <sz val="11"/>
        <color theme="1"/>
        <rFont val="Aptos Narrow"/>
        <family val="2"/>
        <scheme val="minor"/>
      </rPr>
      <t>, dan kan het veld Aspirant op deelnemer op Ja gezet worden. Er worden dan alleen de premie op basis van de aspirant percentages berekend. Er is gene controle in dit sheet of de deelnemer daadwerkelijk jonger dan 18 jaar is. Niet elke regeling kent een aspirant regeling. Dit valt terug te zien doordat bij een aantal werkgevers eht percenatge op 0% staat voor de aspirant premie.</t>
    </r>
  </si>
  <si>
    <r>
      <t xml:space="preserve">In de kolom </t>
    </r>
    <r>
      <rPr>
        <b/>
        <sz val="11"/>
        <color theme="1"/>
        <rFont val="Aptos Narrow"/>
        <family val="2"/>
        <scheme val="minor"/>
      </rPr>
      <t>premievrijstelling</t>
    </r>
    <r>
      <rPr>
        <sz val="11"/>
        <color theme="1"/>
        <rFont val="Aptos Narrow"/>
        <family val="2"/>
        <scheme val="minor"/>
      </rPr>
      <t xml:space="preserve"> kan het percentage wat hoort bij de uren ouderschapsverlof of arbeidsongeschiktheid gevuld worden. Dit rekend dan door in de af te dragen premie.</t>
    </r>
  </si>
  <si>
    <t>Bij het aantal perioden kan meegegeven worden of de premie van 1 of meerdere periode getoond moet worden.</t>
  </si>
  <si>
    <t>Voorbeelden van hoe de verlofgegevens in het UPA bericht verwacht worden. Inclusief premiebedrag</t>
  </si>
  <si>
    <t xml:space="preserve">Dit voor zowel werkgevers die niet onder Kartonage en Flexibele verpakkingen (K&amp;FV) vallen als die wel onder K&amp;FV vallen. </t>
  </si>
  <si>
    <t>Dit zijn voorbeelden. Sommige velden kunnen als gewenst aangepast worden maar dit kan beter in het tabblad Verlof premie gedaan worden.</t>
  </si>
  <si>
    <t>LET op: dit is voornamelijk voor de niet K&amp;FV werkgevers. Voor de K&amp;FV werkgevers is van toepassing dat de premie voor het ouderschapsverlof NIET voor rekening van het fonds komt. Dit zal betaald moeten worden door de werkgever/werknemer. Dit is afwijkend van de andere door PNO media utigevoerde regelingen.</t>
  </si>
  <si>
    <t>Vul bij regeliere uren het aantal uren dat de medewerker voor het verlof werkte</t>
  </si>
  <si>
    <t>Vul bij verlof uren het aantal uren verlof dat de medewerker in de periode opneemt.</t>
  </si>
  <si>
    <t>Berekenen voor een periode van de door Werkgever/Werknemer te betalen premie en wat eventueel voor rekening van het fonds gaat komen in geval van (onbetaald) ouderschapsverlof</t>
  </si>
  <si>
    <t>Let goed op de juiste normuren</t>
  </si>
  <si>
    <t>De overige velden wordt van aangenomen dat dit voor zich spreekt wat te vullen</t>
  </si>
  <si>
    <r>
      <rPr>
        <b/>
        <sz val="11"/>
        <color theme="1"/>
        <rFont val="Aptos Narrow"/>
        <family val="2"/>
        <scheme val="minor"/>
      </rPr>
      <t>LET OP:</t>
    </r>
    <r>
      <rPr>
        <sz val="11"/>
        <color theme="1"/>
        <rFont val="Aptos Narrow"/>
        <family val="2"/>
        <scheme val="minor"/>
      </rPr>
      <t xml:space="preserve"> dit is voornamelijk voor de niet K&amp;FV werkgevers. Voor de K&amp;FV werkgevers is van toepassing dat de premie voor het ouderschapsverlof NIET voor rekening van het fonds komt. Dit zal betaald moeten worden door de werkgever/werknemer. Dit is afwijkend van de andere door PNO media utigevoerde regelingen.</t>
    </r>
  </si>
  <si>
    <t>Nota (deel Testgroep)</t>
  </si>
  <si>
    <t>Wachtwoord</t>
  </si>
  <si>
    <t>pnomedia</t>
  </si>
  <si>
    <t>in het geval er velden geblokkeerd zijn die toch gevuld moeten worden.</t>
  </si>
  <si>
    <t>Versie</t>
  </si>
  <si>
    <t>Datum</t>
  </si>
  <si>
    <t>Aanpassing</t>
  </si>
  <si>
    <t>1.0</t>
  </si>
  <si>
    <t>Eerste versie tool</t>
  </si>
  <si>
    <t>1.1</t>
  </si>
  <si>
    <t>Gebruiker</t>
  </si>
  <si>
    <t>DT</t>
  </si>
  <si>
    <t>Premie deel boven maximum loon</t>
  </si>
  <si>
    <t>Voorbeeld 1: Betaald ouderschapsverlof aanlevering in UPA in het geval het geen Kartonnage en Flexibele verpakkingen (K&amp;FV) betreft</t>
  </si>
  <si>
    <t>Voorbeeld 2: Betaald ouderschapsverlof aanlevering in UPA in het geval van Kartonnage en Flexibele verpakkingen (K&amp;FV)</t>
  </si>
  <si>
    <t>Voorbeeld 3: Onbetaald verlof aanlevering in UPA</t>
  </si>
  <si>
    <t>Aandachtspunten</t>
  </si>
  <si>
    <t>* De premie voor Onbetaald ouderschapsverlof en Betaald ouderschapsverlof komen in de PNO regelingen anders dan bij de K&amp;FV rgeling voor rekening van de het fonds</t>
  </si>
  <si>
    <t>* Hieronder is een voorbeeld opgenomen hoe de aanlevering en premieberekening in het geval een niet K&amp;FV regeling van toepassing is.</t>
  </si>
  <si>
    <t>* Verder is een voorbeeld opgenomen van onbetaald verlof bij de niet K&amp;FV regelingen</t>
  </si>
  <si>
    <t xml:space="preserve">* Voor De K&amp;FV regeling is het derde voorbeeld altijd van toepassing in het geval er geen sprake is van betaald ouderschapsverlof. </t>
  </si>
  <si>
    <t>1. Gebruik maximum loon voor premie ingebouwd
2. Melding max 100% parttimegraad
3. Verlofvoorbeelden 2 en 3 omgedraaid voor logischer verloop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</si>
</sst>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quot;€&quot;\ #,##0.00"/>
    <numFmt numFmtId="165" formatCode="0.000%"/>
    <numFmt numFmtId="166" formatCode="\:"/>
  </numFmts>
  <fonts count="21"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sz val="11"/>
      <name val="Aptos Narrow"/>
      <family val="2"/>
      <scheme val="minor"/>
    </font>
    <font>
      <b/>
      <sz val="16"/>
      <color theme="1"/>
      <name val="Aptos Narrow"/>
      <family val="2"/>
      <scheme val="minor"/>
    </font>
    <font>
      <b/>
      <sz val="14"/>
      <color theme="1"/>
      <name val="Aptos Narrow"/>
      <family val="2"/>
      <scheme val="minor"/>
    </font>
    <font>
      <sz val="11"/>
      <color indexed="8"/>
      <name val="Aptos Narrow"/>
      <family val="2"/>
      <scheme val="minor"/>
    </font>
    <font>
      <sz val="8"/>
      <name val="Aptos Narrow"/>
      <family val="2"/>
      <scheme val="minor"/>
    </font>
    <font>
      <sz val="10"/>
      <name val="Aptos Narrow"/>
      <family val="2"/>
      <scheme val="minor"/>
    </font>
    <font>
      <sz val="10"/>
      <name val="Segoe UI"/>
      <family val="2"/>
    </font>
    <font>
      <sz val="10"/>
      <color theme="1"/>
      <name val="Aptos Narrow"/>
      <family val="2"/>
      <scheme val="minor"/>
    </font>
    <font>
      <b/>
      <sz val="10"/>
      <color theme="0"/>
      <name val="Aptos Narrow"/>
      <family val="2"/>
      <scheme val="minor"/>
    </font>
    <font>
      <sz val="10"/>
      <color theme="0"/>
      <name val="Aptos Narrow"/>
      <family val="2"/>
      <scheme val="minor"/>
    </font>
    <font>
      <b/>
      <sz val="10"/>
      <color theme="1"/>
      <name val="Aptos Narrow"/>
      <family val="2"/>
      <scheme val="minor"/>
    </font>
    <font>
      <b/>
      <sz val="10"/>
      <name val="Aptos Narrow"/>
      <family val="2"/>
      <scheme val="minor"/>
    </font>
    <font>
      <b/>
      <sz val="12"/>
      <name val="Aptos Narrow"/>
      <family val="2"/>
      <scheme val="minor"/>
    </font>
    <font>
      <b/>
      <sz val="12"/>
      <name val="Segoe UI"/>
      <family val="2"/>
    </font>
    <font>
      <b/>
      <sz val="16"/>
      <name val="Aptos Narrow"/>
      <family val="2"/>
      <scheme val="minor"/>
    </font>
    <font>
      <b/>
      <sz val="16"/>
      <name val="Segoe UI"/>
      <family val="2"/>
    </font>
    <font>
      <sz val="16"/>
      <color theme="1"/>
      <name val="Aptos Narrow"/>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3" tint="0.89999084444715716"/>
        <bgColor indexed="64"/>
      </patternFill>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B6D5E4"/>
        <bgColor indexed="64"/>
      </patternFill>
    </fill>
    <fill>
      <patternFill patternType="solid">
        <fgColor rgb="FF0070C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48118533890809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cellStyleXfs>
  <cellXfs count="166">
    <xf numFmtId="0" fontId="0" fillId="0" borderId="0" xfId="0"/>
    <xf numFmtId="0" fontId="2" fillId="2" borderId="0" xfId="0" applyFont="1" applyFill="1" applyAlignment="1">
      <alignment vertical="top" wrapText="1"/>
    </xf>
    <xf numFmtId="0" fontId="2" fillId="3" borderId="0" xfId="0" applyFont="1" applyFill="1" applyAlignment="1">
      <alignment vertical="top" wrapText="1"/>
    </xf>
    <xf numFmtId="0" fontId="3" fillId="4" borderId="1" xfId="0" applyFont="1" applyFill="1" applyBorder="1" applyAlignment="1">
      <alignment horizontal="right"/>
    </xf>
    <xf numFmtId="0" fontId="2" fillId="0" borderId="0" xfId="0" applyFont="1"/>
    <xf numFmtId="0" fontId="4" fillId="5" borderId="0" xfId="0" applyFont="1" applyFill="1"/>
    <xf numFmtId="10" fontId="0" fillId="5" borderId="0" xfId="0" applyNumberFormat="1" applyFill="1"/>
    <xf numFmtId="0" fontId="4" fillId="0" borderId="0" xfId="0" applyFont="1"/>
    <xf numFmtId="0" fontId="5" fillId="0" borderId="0" xfId="0" applyFont="1"/>
    <xf numFmtId="0" fontId="6" fillId="0" borderId="0" xfId="0" applyFont="1"/>
    <xf numFmtId="44" fontId="0" fillId="0" borderId="0" xfId="1" applyFont="1"/>
    <xf numFmtId="10" fontId="0" fillId="0" borderId="0" xfId="2" applyNumberFormat="1" applyFont="1" applyFill="1"/>
    <xf numFmtId="10" fontId="0" fillId="0" borderId="0" xfId="0" applyNumberFormat="1"/>
    <xf numFmtId="44" fontId="0" fillId="0" borderId="0" xfId="1" applyFont="1" applyFill="1"/>
    <xf numFmtId="44" fontId="0" fillId="0" borderId="0" xfId="0" applyNumberFormat="1"/>
    <xf numFmtId="44" fontId="2" fillId="0" borderId="0" xfId="1" applyFont="1"/>
    <xf numFmtId="44" fontId="0" fillId="5" borderId="0" xfId="1" applyFont="1" applyFill="1"/>
    <xf numFmtId="0" fontId="2" fillId="8" borderId="0" xfId="0" applyFont="1" applyFill="1"/>
    <xf numFmtId="0" fontId="9" fillId="6" borderId="0" xfId="0" applyFont="1" applyFill="1" applyProtection="1">
      <protection locked="0"/>
    </xf>
    <xf numFmtId="0" fontId="11" fillId="6" borderId="0" xfId="0" applyFont="1" applyFill="1" applyProtection="1">
      <protection locked="0"/>
    </xf>
    <xf numFmtId="10" fontId="9" fillId="6" borderId="1" xfId="2" applyNumberFormat="1" applyFont="1" applyFill="1" applyBorder="1" applyAlignment="1" applyProtection="1">
      <alignment horizontal="right"/>
    </xf>
    <xf numFmtId="0" fontId="14" fillId="6" borderId="0" xfId="0" applyFont="1" applyFill="1" applyProtection="1">
      <protection locked="0"/>
    </xf>
    <xf numFmtId="0" fontId="9" fillId="6" borderId="0" xfId="0" applyFont="1" applyFill="1"/>
    <xf numFmtId="10" fontId="9" fillId="6" borderId="0" xfId="2" applyNumberFormat="1" applyFont="1" applyFill="1" applyBorder="1" applyAlignment="1" applyProtection="1">
      <alignment horizontal="right"/>
    </xf>
    <xf numFmtId="165" fontId="9" fillId="6" borderId="0" xfId="2" applyNumberFormat="1" applyFont="1" applyFill="1" applyBorder="1" applyAlignment="1" applyProtection="1">
      <alignment horizontal="right"/>
    </xf>
    <xf numFmtId="44" fontId="11" fillId="6" borderId="0" xfId="0" applyNumberFormat="1" applyFont="1" applyFill="1" applyProtection="1">
      <protection locked="0"/>
    </xf>
    <xf numFmtId="14" fontId="9" fillId="7" borderId="1" xfId="0" applyNumberFormat="1" applyFont="1" applyFill="1" applyBorder="1" applyProtection="1">
      <protection locked="0"/>
    </xf>
    <xf numFmtId="0" fontId="9" fillId="7" borderId="1" xfId="0" applyFont="1" applyFill="1" applyBorder="1" applyProtection="1">
      <protection locked="0"/>
    </xf>
    <xf numFmtId="0" fontId="11" fillId="7" borderId="5" xfId="0" applyFont="1" applyFill="1" applyBorder="1" applyProtection="1">
      <protection locked="0"/>
    </xf>
    <xf numFmtId="164" fontId="9" fillId="7" borderId="1" xfId="0" applyNumberFormat="1" applyFont="1" applyFill="1" applyBorder="1" applyProtection="1">
      <protection locked="0"/>
    </xf>
    <xf numFmtId="10" fontId="9" fillId="7" borderId="1" xfId="0" applyNumberFormat="1" applyFont="1" applyFill="1" applyBorder="1" applyProtection="1">
      <protection locked="0"/>
    </xf>
    <xf numFmtId="14" fontId="15" fillId="7" borderId="1" xfId="0" applyNumberFormat="1" applyFont="1" applyFill="1" applyBorder="1" applyProtection="1">
      <protection locked="0"/>
    </xf>
    <xf numFmtId="164" fontId="9" fillId="7" borderId="12" xfId="0" applyNumberFormat="1" applyFont="1" applyFill="1" applyBorder="1" applyProtection="1">
      <protection locked="0"/>
    </xf>
    <xf numFmtId="44" fontId="2" fillId="11" borderId="0" xfId="0" applyNumberFormat="1" applyFont="1" applyFill="1"/>
    <xf numFmtId="0" fontId="0" fillId="0" borderId="17" xfId="0" applyBorder="1"/>
    <xf numFmtId="0" fontId="0" fillId="0" borderId="20" xfId="0" applyBorder="1"/>
    <xf numFmtId="0" fontId="2" fillId="0" borderId="17" xfId="0" applyFont="1" applyBorder="1"/>
    <xf numFmtId="44" fontId="0" fillId="0" borderId="0" xfId="1" applyFont="1" applyBorder="1"/>
    <xf numFmtId="2" fontId="0" fillId="0" borderId="0" xfId="0" applyNumberFormat="1"/>
    <xf numFmtId="9" fontId="0" fillId="0" borderId="0" xfId="2" applyFont="1" applyBorder="1"/>
    <xf numFmtId="0" fontId="0" fillId="0" borderId="21" xfId="0" applyBorder="1"/>
    <xf numFmtId="44" fontId="0" fillId="0" borderId="22" xfId="0" applyNumberFormat="1" applyBorder="1"/>
    <xf numFmtId="0" fontId="0" fillId="0" borderId="22" xfId="0" applyBorder="1"/>
    <xf numFmtId="0" fontId="0" fillId="0" borderId="23" xfId="0" applyBorder="1"/>
    <xf numFmtId="0" fontId="2" fillId="8" borderId="2" xfId="0" applyFont="1" applyFill="1" applyBorder="1"/>
    <xf numFmtId="0" fontId="0" fillId="8" borderId="4" xfId="0" applyFill="1" applyBorder="1"/>
    <xf numFmtId="0" fontId="0" fillId="8" borderId="3" xfId="0" applyFill="1" applyBorder="1"/>
    <xf numFmtId="2" fontId="2" fillId="11" borderId="22" xfId="0" applyNumberFormat="1" applyFont="1" applyFill="1" applyBorder="1"/>
    <xf numFmtId="0" fontId="0" fillId="0" borderId="0" xfId="0" applyAlignment="1">
      <alignment wrapText="1"/>
    </xf>
    <xf numFmtId="0" fontId="0" fillId="0" borderId="22" xfId="0" applyBorder="1" applyAlignment="1">
      <alignment wrapText="1"/>
    </xf>
    <xf numFmtId="44" fontId="9" fillId="6" borderId="1" xfId="1" applyFont="1" applyFill="1" applyBorder="1" applyAlignment="1" applyProtection="1">
      <alignment vertical="top"/>
    </xf>
    <xf numFmtId="9" fontId="11" fillId="7" borderId="1" xfId="2" applyFont="1" applyFill="1" applyBorder="1" applyProtection="1">
      <protection locked="0"/>
    </xf>
    <xf numFmtId="9" fontId="11" fillId="7" borderId="12" xfId="2" applyFont="1" applyFill="1" applyBorder="1" applyProtection="1">
      <protection locked="0"/>
    </xf>
    <xf numFmtId="0" fontId="0" fillId="0" borderId="32" xfId="0" applyBorder="1" applyAlignment="1">
      <alignment wrapText="1"/>
    </xf>
    <xf numFmtId="0" fontId="0" fillId="0" borderId="33" xfId="0" applyBorder="1" applyAlignment="1">
      <alignment wrapText="1"/>
    </xf>
    <xf numFmtId="0" fontId="0" fillId="8" borderId="16" xfId="0" applyFill="1" applyBorder="1" applyAlignment="1">
      <alignment wrapText="1"/>
    </xf>
    <xf numFmtId="0" fontId="0" fillId="8" borderId="12" xfId="0" applyFill="1" applyBorder="1" applyAlignment="1">
      <alignment wrapText="1"/>
    </xf>
    <xf numFmtId="0" fontId="0" fillId="8" borderId="11" xfId="0" applyFill="1" applyBorder="1" applyAlignment="1">
      <alignment wrapText="1"/>
    </xf>
    <xf numFmtId="0" fontId="0" fillId="8" borderId="13" xfId="0" applyFill="1" applyBorder="1" applyAlignment="1">
      <alignment wrapText="1"/>
    </xf>
    <xf numFmtId="0" fontId="0" fillId="8" borderId="15" xfId="0" applyFill="1" applyBorder="1" applyAlignment="1">
      <alignment wrapText="1"/>
    </xf>
    <xf numFmtId="0" fontId="0" fillId="12" borderId="15" xfId="0" applyFill="1" applyBorder="1" applyAlignment="1">
      <alignment wrapText="1"/>
    </xf>
    <xf numFmtId="0" fontId="2" fillId="12" borderId="26" xfId="0" applyFont="1" applyFill="1" applyBorder="1"/>
    <xf numFmtId="0" fontId="0" fillId="12" borderId="16" xfId="0" applyFill="1" applyBorder="1" applyAlignment="1">
      <alignment wrapText="1"/>
    </xf>
    <xf numFmtId="0" fontId="2" fillId="12" borderId="31" xfId="0" applyFont="1" applyFill="1" applyBorder="1"/>
    <xf numFmtId="0" fontId="0" fillId="12" borderId="9" xfId="0" applyFill="1" applyBorder="1" applyAlignment="1">
      <alignment wrapText="1"/>
    </xf>
    <xf numFmtId="0" fontId="0" fillId="12" borderId="13" xfId="0" applyFill="1" applyBorder="1" applyAlignment="1">
      <alignment wrapText="1"/>
    </xf>
    <xf numFmtId="0" fontId="0" fillId="13" borderId="9" xfId="0" applyFill="1" applyBorder="1" applyAlignment="1">
      <alignment wrapText="1"/>
    </xf>
    <xf numFmtId="0" fontId="0" fillId="13" borderId="16" xfId="0" applyFill="1" applyBorder="1" applyAlignment="1">
      <alignment wrapText="1"/>
    </xf>
    <xf numFmtId="0" fontId="0" fillId="13" borderId="34" xfId="0" applyFill="1" applyBorder="1" applyAlignment="1">
      <alignment wrapText="1"/>
    </xf>
    <xf numFmtId="0" fontId="0" fillId="13" borderId="28" xfId="0" applyFill="1" applyBorder="1" applyAlignment="1">
      <alignment wrapText="1"/>
    </xf>
    <xf numFmtId="0" fontId="0" fillId="13" borderId="11" xfId="0" applyFill="1" applyBorder="1" applyAlignment="1">
      <alignment wrapText="1"/>
    </xf>
    <xf numFmtId="0" fontId="0" fillId="13" borderId="35" xfId="0" applyFill="1" applyBorder="1" applyAlignment="1">
      <alignment wrapText="1"/>
    </xf>
    <xf numFmtId="0" fontId="0" fillId="13" borderId="29" xfId="0" applyFill="1" applyBorder="1" applyAlignment="1">
      <alignment wrapText="1"/>
    </xf>
    <xf numFmtId="0" fontId="0" fillId="8" borderId="34" xfId="0" applyFill="1" applyBorder="1" applyAlignment="1">
      <alignment wrapText="1"/>
    </xf>
    <xf numFmtId="0" fontId="2" fillId="8" borderId="36" xfId="0" applyFont="1" applyFill="1" applyBorder="1" applyAlignment="1">
      <alignment wrapText="1"/>
    </xf>
    <xf numFmtId="0" fontId="2" fillId="6" borderId="35" xfId="0" applyFont="1" applyFill="1" applyBorder="1"/>
    <xf numFmtId="0" fontId="2" fillId="13" borderId="30" xfId="0" applyFont="1" applyFill="1" applyBorder="1"/>
    <xf numFmtId="0" fontId="2" fillId="13" borderId="37" xfId="0" applyFont="1" applyFill="1" applyBorder="1"/>
    <xf numFmtId="0" fontId="2" fillId="13" borderId="38" xfId="0" applyFont="1" applyFill="1" applyBorder="1"/>
    <xf numFmtId="0" fontId="6" fillId="3" borderId="25" xfId="0" applyFont="1" applyFill="1" applyBorder="1"/>
    <xf numFmtId="0" fontId="2" fillId="8" borderId="30" xfId="0" applyFont="1" applyFill="1" applyBorder="1"/>
    <xf numFmtId="0" fontId="2" fillId="8" borderId="37" xfId="0" applyFont="1" applyFill="1" applyBorder="1"/>
    <xf numFmtId="0" fontId="2" fillId="8" borderId="38" xfId="0" applyFont="1" applyFill="1" applyBorder="1"/>
    <xf numFmtId="0" fontId="2" fillId="12" borderId="27" xfId="0" applyFont="1" applyFill="1" applyBorder="1"/>
    <xf numFmtId="0" fontId="0" fillId="12" borderId="39" xfId="0" applyFill="1" applyBorder="1" applyAlignment="1">
      <alignment wrapText="1"/>
    </xf>
    <xf numFmtId="0" fontId="2" fillId="0" borderId="7" xfId="0" applyFont="1" applyBorder="1"/>
    <xf numFmtId="0" fontId="0" fillId="0" borderId="7" xfId="0" applyBorder="1" applyAlignment="1">
      <alignment wrapText="1"/>
    </xf>
    <xf numFmtId="0" fontId="0" fillId="12" borderId="40" xfId="0" applyFill="1" applyBorder="1"/>
    <xf numFmtId="0" fontId="0" fillId="12" borderId="18" xfId="0" applyFill="1" applyBorder="1" applyAlignment="1">
      <alignment wrapText="1"/>
    </xf>
    <xf numFmtId="0" fontId="2" fillId="12" borderId="16" xfId="0" applyFont="1" applyFill="1" applyBorder="1" applyAlignment="1">
      <alignment wrapText="1"/>
    </xf>
    <xf numFmtId="0" fontId="0" fillId="12" borderId="11" xfId="0" applyFill="1" applyBorder="1" applyAlignment="1">
      <alignment wrapText="1"/>
    </xf>
    <xf numFmtId="0" fontId="0" fillId="12" borderId="12" xfId="0" applyFill="1" applyBorder="1" applyAlignment="1">
      <alignment wrapText="1"/>
    </xf>
    <xf numFmtId="0" fontId="0" fillId="12" borderId="36" xfId="0" applyFill="1" applyBorder="1" applyAlignment="1">
      <alignment wrapText="1"/>
    </xf>
    <xf numFmtId="0" fontId="2" fillId="7" borderId="0" xfId="0" applyFont="1" applyFill="1" applyProtection="1">
      <protection locked="0"/>
    </xf>
    <xf numFmtId="14" fontId="2" fillId="7" borderId="0" xfId="0" applyNumberFormat="1" applyFont="1" applyFill="1" applyProtection="1">
      <protection locked="0"/>
    </xf>
    <xf numFmtId="44" fontId="2" fillId="7" borderId="0" xfId="1" applyFont="1" applyFill="1" applyProtection="1">
      <protection locked="0"/>
    </xf>
    <xf numFmtId="165" fontId="2" fillId="7" borderId="0" xfId="0" applyNumberFormat="1" applyFont="1" applyFill="1" applyProtection="1">
      <protection locked="0"/>
    </xf>
    <xf numFmtId="0" fontId="2" fillId="7" borderId="0" xfId="0" applyFont="1" applyFill="1" applyAlignment="1" applyProtection="1">
      <alignment horizontal="center" vertical="center"/>
      <protection locked="0"/>
    </xf>
    <xf numFmtId="0" fontId="6" fillId="3" borderId="0" xfId="0" applyFont="1" applyFill="1" applyProtection="1">
      <protection locked="0"/>
    </xf>
    <xf numFmtId="0" fontId="2" fillId="0" borderId="1" xfId="0" applyFont="1" applyBorder="1"/>
    <xf numFmtId="0" fontId="0" fillId="0" borderId="1" xfId="0" applyBorder="1"/>
    <xf numFmtId="14" fontId="0" fillId="0" borderId="1" xfId="0" applyNumberFormat="1" applyBorder="1"/>
    <xf numFmtId="0" fontId="0" fillId="0" borderId="1" xfId="0" applyBorder="1" applyAlignment="1">
      <alignment wrapText="1"/>
    </xf>
    <xf numFmtId="0" fontId="17" fillId="6" borderId="0" xfId="0" applyFont="1" applyFill="1"/>
    <xf numFmtId="0" fontId="11" fillId="6" borderId="0" xfId="0" applyFont="1" applyFill="1"/>
    <xf numFmtId="0" fontId="18" fillId="7" borderId="1" xfId="0" applyFont="1" applyFill="1" applyBorder="1"/>
    <xf numFmtId="0" fontId="12" fillId="10" borderId="1" xfId="0" applyFont="1" applyFill="1" applyBorder="1" applyAlignment="1">
      <alignment horizontal="left"/>
    </xf>
    <xf numFmtId="0" fontId="9" fillId="6" borderId="0" xfId="0" applyFont="1" applyFill="1" applyAlignment="1">
      <alignment horizontal="left"/>
    </xf>
    <xf numFmtId="0" fontId="9" fillId="6" borderId="1" xfId="0" applyFont="1" applyFill="1" applyBorder="1"/>
    <xf numFmtId="0" fontId="13" fillId="6" borderId="0" xfId="0" applyFont="1" applyFill="1"/>
    <xf numFmtId="0" fontId="11" fillId="6" borderId="1" xfId="0" applyFont="1" applyFill="1" applyBorder="1" applyAlignment="1">
      <alignment horizontal="left"/>
    </xf>
    <xf numFmtId="0" fontId="9" fillId="6" borderId="0" xfId="0" applyFont="1" applyFill="1" applyAlignment="1">
      <alignment horizontal="left" vertical="top" wrapText="1"/>
    </xf>
    <xf numFmtId="14" fontId="9" fillId="0" borderId="1" xfId="0" applyNumberFormat="1" applyFont="1" applyBorder="1" applyAlignment="1">
      <alignment horizontal="right"/>
    </xf>
    <xf numFmtId="44" fontId="9" fillId="6" borderId="1" xfId="0" applyNumberFormat="1" applyFont="1" applyFill="1" applyBorder="1" applyAlignment="1">
      <alignment vertical="top"/>
    </xf>
    <xf numFmtId="164" fontId="11" fillId="6" borderId="1" xfId="0" applyNumberFormat="1" applyFont="1" applyFill="1" applyBorder="1"/>
    <xf numFmtId="2" fontId="11" fillId="6" borderId="1" xfId="0" applyNumberFormat="1" applyFont="1" applyFill="1" applyBorder="1"/>
    <xf numFmtId="0" fontId="12" fillId="10" borderId="17" xfId="0" applyFont="1" applyFill="1" applyBorder="1" applyAlignment="1">
      <alignment horizontal="left"/>
    </xf>
    <xf numFmtId="0" fontId="12" fillId="10" borderId="0" xfId="0" applyFont="1" applyFill="1" applyAlignment="1">
      <alignment horizontal="left"/>
    </xf>
    <xf numFmtId="0" fontId="9" fillId="6" borderId="1" xfId="0" applyFont="1" applyFill="1" applyBorder="1" applyAlignment="1">
      <alignment horizontal="left" vertical="top"/>
    </xf>
    <xf numFmtId="0" fontId="14" fillId="6" borderId="0" xfId="0" applyFont="1" applyFill="1"/>
    <xf numFmtId="0" fontId="12" fillId="10" borderId="9" xfId="0" applyFont="1" applyFill="1" applyBorder="1" applyAlignment="1">
      <alignment horizontal="left"/>
    </xf>
    <xf numFmtId="0" fontId="12" fillId="10" borderId="10" xfId="0" applyFont="1" applyFill="1" applyBorder="1" applyAlignment="1">
      <alignment horizontal="left"/>
    </xf>
    <xf numFmtId="0" fontId="12" fillId="10" borderId="16" xfId="0" applyFont="1" applyFill="1" applyBorder="1" applyAlignment="1">
      <alignment horizontal="left"/>
    </xf>
    <xf numFmtId="0" fontId="11" fillId="6" borderId="11" xfId="0" applyFont="1" applyFill="1" applyBorder="1"/>
    <xf numFmtId="0" fontId="11" fillId="6" borderId="1" xfId="0" applyFont="1" applyFill="1" applyBorder="1"/>
    <xf numFmtId="164" fontId="11" fillId="6" borderId="12" xfId="0" applyNumberFormat="1" applyFont="1" applyFill="1" applyBorder="1"/>
    <xf numFmtId="44" fontId="11" fillId="6" borderId="12" xfId="0" applyNumberFormat="1" applyFont="1" applyFill="1" applyBorder="1"/>
    <xf numFmtId="44" fontId="11" fillId="6" borderId="0" xfId="0" applyNumberFormat="1" applyFont="1" applyFill="1"/>
    <xf numFmtId="10" fontId="11" fillId="6" borderId="12" xfId="0" applyNumberFormat="1" applyFont="1" applyFill="1" applyBorder="1"/>
    <xf numFmtId="0" fontId="14" fillId="6" borderId="11" xfId="0" applyFont="1" applyFill="1" applyBorder="1"/>
    <xf numFmtId="164" fontId="14" fillId="6" borderId="12" xfId="0" applyNumberFormat="1" applyFont="1" applyFill="1" applyBorder="1"/>
    <xf numFmtId="0" fontId="14" fillId="6" borderId="12" xfId="0" applyFont="1" applyFill="1" applyBorder="1"/>
    <xf numFmtId="0" fontId="11" fillId="6" borderId="18" xfId="0" applyFont="1" applyFill="1" applyBorder="1"/>
    <xf numFmtId="0" fontId="11" fillId="6" borderId="19" xfId="0" applyFont="1" applyFill="1" applyBorder="1"/>
    <xf numFmtId="44" fontId="14" fillId="6" borderId="24" xfId="0" applyNumberFormat="1" applyFont="1" applyFill="1" applyBorder="1"/>
    <xf numFmtId="0" fontId="11" fillId="6" borderId="13" xfId="0" applyFont="1" applyFill="1" applyBorder="1"/>
    <xf numFmtId="0" fontId="11" fillId="6" borderId="14" xfId="0" applyFont="1" applyFill="1" applyBorder="1"/>
    <xf numFmtId="44" fontId="14" fillId="6" borderId="15" xfId="0" applyNumberFormat="1" applyFont="1" applyFill="1" applyBorder="1"/>
    <xf numFmtId="0" fontId="10" fillId="6" borderId="0" xfId="0" applyFont="1" applyFill="1"/>
    <xf numFmtId="0" fontId="15" fillId="6" borderId="0" xfId="0" applyFont="1" applyFill="1" applyAlignment="1">
      <alignment horizontal="left" vertical="top"/>
    </xf>
    <xf numFmtId="44" fontId="11" fillId="6" borderId="1" xfId="0" applyNumberFormat="1" applyFont="1" applyFill="1" applyBorder="1"/>
    <xf numFmtId="44" fontId="14" fillId="6" borderId="1" xfId="0" applyNumberFormat="1" applyFont="1" applyFill="1" applyBorder="1"/>
    <xf numFmtId="44" fontId="14" fillId="6" borderId="12" xfId="0" applyNumberFormat="1" applyFont="1" applyFill="1" applyBorder="1"/>
    <xf numFmtId="44" fontId="14" fillId="6" borderId="14" xfId="0" applyNumberFormat="1" applyFont="1" applyFill="1" applyBorder="1"/>
    <xf numFmtId="0" fontId="11" fillId="6" borderId="9" xfId="0" applyFont="1" applyFill="1" applyBorder="1"/>
    <xf numFmtId="0" fontId="11" fillId="9" borderId="10" xfId="0" applyFont="1" applyFill="1" applyBorder="1"/>
    <xf numFmtId="0" fontId="11" fillId="9" borderId="1" xfId="0" applyFont="1" applyFill="1" applyBorder="1"/>
    <xf numFmtId="0" fontId="12" fillId="10" borderId="19" xfId="0" applyFont="1" applyFill="1" applyBorder="1" applyAlignment="1">
      <alignment horizontal="left"/>
    </xf>
    <xf numFmtId="0" fontId="11" fillId="6" borderId="10" xfId="0" applyFont="1" applyFill="1" applyBorder="1"/>
    <xf numFmtId="164" fontId="11" fillId="6" borderId="10" xfId="0" applyNumberFormat="1" applyFont="1" applyFill="1" applyBorder="1"/>
    <xf numFmtId="164" fontId="11" fillId="6" borderId="16" xfId="0" applyNumberFormat="1" applyFont="1" applyFill="1" applyBorder="1"/>
    <xf numFmtId="166" fontId="2" fillId="0" borderId="0" xfId="0" applyNumberFormat="1" applyFont="1"/>
    <xf numFmtId="0" fontId="5" fillId="0" borderId="0" xfId="0" applyFont="1" applyAlignment="1">
      <alignment horizontal="center"/>
    </xf>
    <xf numFmtId="0" fontId="20" fillId="0" borderId="0" xfId="0" applyFont="1" applyAlignment="1">
      <alignment horizontal="center"/>
    </xf>
    <xf numFmtId="0" fontId="9" fillId="6" borderId="2" xfId="0" applyFont="1" applyFill="1"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16" fillId="3" borderId="6" xfId="0" applyFont="1" applyFill="1" applyBorder="1" applyAlignment="1">
      <alignment horizontal="center"/>
    </xf>
    <xf numFmtId="0" fontId="0" fillId="3" borderId="7" xfId="0" applyFill="1" applyBorder="1"/>
    <xf numFmtId="0" fontId="0" fillId="3" borderId="8" xfId="0" applyFill="1" applyBorder="1"/>
    <xf numFmtId="0" fontId="12" fillId="10" borderId="1" xfId="0" applyFont="1" applyFill="1" applyBorder="1" applyAlignment="1">
      <alignment horizontal="left"/>
    </xf>
    <xf numFmtId="0" fontId="9" fillId="6" borderId="2" xfId="0" applyFont="1" applyFill="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2" fillId="10" borderId="1" xfId="0" applyFont="1" applyFill="1" applyBorder="1" applyAlignment="1">
      <alignment horizontal="left" vertical="top"/>
    </xf>
    <xf numFmtId="0" fontId="11" fillId="7" borderId="1" xfId="0" applyFont="1" applyFill="1" applyBorder="1" applyAlignment="1" applyProtection="1">
      <alignment horizontal="left"/>
      <protection locked="0"/>
    </xf>
  </cellXfs>
  <cellStyles count="4">
    <cellStyle name="Procent" xfId="2" builtinId="5"/>
    <cellStyle name="Standaard" xfId="0" builtinId="0"/>
    <cellStyle name="Standaard 2" xfId="3" xr:uid="{49207384-F071-4BA4-97BD-AB94C6A0F5CD}"/>
    <cellStyle name="Valuta" xfId="1" builtinId="4"/>
  </cellStyles>
  <dxfs count="23">
    <dxf>
      <font>
        <color theme="1"/>
      </font>
    </dxf>
    <dxf>
      <font>
        <color theme="0"/>
      </font>
    </dxf>
    <dxf>
      <font>
        <color theme="1"/>
      </font>
      <fill>
        <patternFill>
          <bgColor rgb="FFC9D75F"/>
        </patternFill>
      </fill>
    </dxf>
    <dxf>
      <font>
        <color theme="0"/>
      </font>
      <fill>
        <patternFill>
          <bgColor theme="0"/>
        </patternFill>
      </fill>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1"/>
      </font>
    </dxf>
    <dxf>
      <font>
        <color theme="0"/>
      </font>
    </dxf>
    <dxf>
      <font>
        <color theme="0"/>
      </font>
      <fill>
        <patternFill>
          <bgColor theme="0"/>
        </patternFill>
      </fill>
    </dxf>
    <dxf>
      <font>
        <color theme="0"/>
      </font>
      <fill>
        <patternFill>
          <bgColor theme="0"/>
        </patternFill>
      </fill>
    </dxf>
    <dxf>
      <font>
        <color theme="1"/>
      </font>
      <fill>
        <patternFill>
          <bgColor rgb="FFC9D75F"/>
        </patternFill>
      </fill>
    </dxf>
    <dxf>
      <font>
        <color theme="0"/>
      </font>
      <fill>
        <patternFill>
          <bgColor theme="0"/>
        </patternFill>
      </fill>
    </dxf>
    <dxf>
      <font>
        <color theme="0"/>
      </font>
    </dxf>
    <dxf>
      <font>
        <color theme="0"/>
      </font>
    </dxf>
    <dxf>
      <font>
        <color theme="1"/>
      </font>
    </dxf>
    <dxf>
      <font>
        <color theme="0"/>
      </font>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FFFFCC"/>
      <color rgb="FFFD7B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Nadia Modderkolk" id="{A0734B64-AD1E-4487-9892-DF4B914B7002}" userId="S::nadia.modderkolk@pnomedia.nl::4ba003a7-28c8-4cda-9b6c-fcee720dd99e" providerId="AD"/>
  <person displayName="Dennie Terschegget" id="{4946B5F3-7187-4BEA-BED5-1A8689F11DCB}" userId="S::dennie.terschegget@pnomedia.nl::0d67cb57-0ab2-4592-b706-96c17a62b7e4"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3" dT="2024-06-11T14:43:56.85" personId="{A0734B64-AD1E-4487-9892-DF4B914B7002}" id="{A4E02B0C-A2C6-4C4C-B59D-46F92A8CDEE8}">
    <text>Clusternummer RIS TEST is 5313</text>
  </threadedComment>
  <threadedComment ref="B4" dT="2024-06-11T14:44:15.19" personId="{A0734B64-AD1E-4487-9892-DF4B914B7002}" id="{72DA6920-4072-4FA4-9DB3-F339EFAC3C60}">
    <text>Clusternummer RIS test is 5313</text>
  </threadedComment>
  <threadedComment ref="B17" dT="2024-06-11T14:42:29.94" personId="{A0734B64-AD1E-4487-9892-DF4B914B7002}" id="{C0A37630-11D3-4A94-AB44-443D320684EE}">
    <text>Clusternummer is 5311</text>
  </threadedComment>
  <threadedComment ref="B17" dT="2024-09-04T08:01:51.64" personId="{4946B5F3-7187-4BEA-BED5-1A8689F11DCB}" id="{307115A8-17DF-45B5-AF68-262F7DB7BE32}" parentId="{C0A37630-11D3-4A94-AB44-443D320684EE}">
    <text>Aanlevering op eigen LH-nummer, dus geen afwijkende situatie.</text>
  </threadedComment>
  <threadedComment ref="B18" dT="2024-09-04T08:00:40.72" personId="{4946B5F3-7187-4BEA-BED5-1A8689F11DCB}" id="{1664C395-A618-48EF-9B08-486D4D78A067}">
    <text>Clusternummer is 5311. Aanlevering op eigen LH-nummer, dus geen afwijkende situatie.</text>
  </threadedComment>
  <threadedComment ref="B19" dT="2024-09-04T07:59:23.07" personId="{4946B5F3-7187-4BEA-BED5-1A8689F11DCB}" id="{C4D177A3-3178-47C8-8DAC-777D2B113D44}">
    <text xml:space="preserve">Onderliggend contractnummer is 5330. Aanlevering gaat plaatsvinden op clusternummer 5312. 5330 en 5331 hebben beide hetzelfde LH-nummer! Bijzondere situatie.
</text>
  </threadedComment>
  <threadedComment ref="B20" dT="2024-09-04T07:59:38.18" personId="{4946B5F3-7187-4BEA-BED5-1A8689F11DCB}" id="{F469CD1A-7392-4F0C-9F8B-26CAB0111403}">
    <text>Onderliggend contractnummer is 5331. Aanlevering gaat plaatsvinden op clusternummer 5312. 5330 en 5331 hebben beide hetzelfde LH-nummer! Bijzondere situatie.</text>
  </threadedComment>
</ThreadedComment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40BB-A3E3-46F8-8166-BB437CFF58FD}">
  <dimension ref="A1:D14"/>
  <sheetViews>
    <sheetView workbookViewId="0">
      <selection activeCell="D22" sqref="D22"/>
    </sheetView>
  </sheetViews>
  <sheetFormatPr defaultRowHeight="14.4" x14ac:dyDescent="0.3"/>
  <cols>
    <col min="1" max="1" width="6.5546875" bestFit="1" customWidth="1"/>
    <col min="2" max="2" width="9.6640625" bestFit="1" customWidth="1"/>
    <col min="3" max="3" width="8.33203125" bestFit="1" customWidth="1"/>
    <col min="4" max="4" width="54.88671875" customWidth="1"/>
  </cols>
  <sheetData>
    <row r="1" spans="1:4" x14ac:dyDescent="0.3">
      <c r="A1" s="99" t="s">
        <v>253</v>
      </c>
      <c r="B1" s="99" t="s">
        <v>259</v>
      </c>
      <c r="C1" s="99" t="s">
        <v>254</v>
      </c>
      <c r="D1" s="99" t="s">
        <v>255</v>
      </c>
    </row>
    <row r="2" spans="1:4" x14ac:dyDescent="0.3">
      <c r="A2" s="100" t="s">
        <v>256</v>
      </c>
      <c r="B2" s="100" t="s">
        <v>260</v>
      </c>
      <c r="C2" s="101">
        <v>45811</v>
      </c>
      <c r="D2" s="102" t="s">
        <v>257</v>
      </c>
    </row>
    <row r="3" spans="1:4" ht="43.2" x14ac:dyDescent="0.3">
      <c r="A3" s="100" t="s">
        <v>258</v>
      </c>
      <c r="B3" s="100" t="s">
        <v>260</v>
      </c>
      <c r="C3" s="101">
        <v>45813</v>
      </c>
      <c r="D3" s="102" t="s">
        <v>270</v>
      </c>
    </row>
    <row r="4" spans="1:4" x14ac:dyDescent="0.3">
      <c r="A4" s="100"/>
      <c r="B4" s="100"/>
      <c r="C4" s="100"/>
      <c r="D4" s="100"/>
    </row>
    <row r="5" spans="1:4" x14ac:dyDescent="0.3">
      <c r="A5" s="100"/>
      <c r="B5" s="100"/>
      <c r="C5" s="100"/>
      <c r="D5" s="100"/>
    </row>
    <row r="6" spans="1:4" x14ac:dyDescent="0.3">
      <c r="A6" s="100"/>
      <c r="B6" s="100"/>
      <c r="C6" s="100"/>
      <c r="D6" s="100"/>
    </row>
    <row r="7" spans="1:4" x14ac:dyDescent="0.3">
      <c r="A7" s="100"/>
      <c r="B7" s="100"/>
      <c r="C7" s="100"/>
      <c r="D7" s="100"/>
    </row>
    <row r="8" spans="1:4" x14ac:dyDescent="0.3">
      <c r="A8" s="100"/>
      <c r="B8" s="100"/>
      <c r="C8" s="100"/>
      <c r="D8" s="100"/>
    </row>
    <row r="9" spans="1:4" x14ac:dyDescent="0.3">
      <c r="A9" s="100"/>
      <c r="B9" s="100"/>
      <c r="C9" s="100"/>
      <c r="D9" s="100"/>
    </row>
    <row r="10" spans="1:4" x14ac:dyDescent="0.3">
      <c r="A10" s="100"/>
      <c r="B10" s="100"/>
      <c r="C10" s="100"/>
      <c r="D10" s="100"/>
    </row>
    <row r="11" spans="1:4" x14ac:dyDescent="0.3">
      <c r="A11" s="100"/>
      <c r="B11" s="100"/>
      <c r="C11" s="100"/>
      <c r="D11" s="100"/>
    </row>
    <row r="12" spans="1:4" x14ac:dyDescent="0.3">
      <c r="A12" s="100"/>
      <c r="B12" s="100"/>
      <c r="C12" s="100"/>
      <c r="D12" s="100"/>
    </row>
    <row r="13" spans="1:4" x14ac:dyDescent="0.3">
      <c r="A13" s="100"/>
      <c r="B13" s="100"/>
      <c r="C13" s="100"/>
      <c r="D13" s="100"/>
    </row>
    <row r="14" spans="1:4" x14ac:dyDescent="0.3">
      <c r="A14" s="100"/>
      <c r="B14" s="100"/>
      <c r="C14" s="100"/>
      <c r="D14" s="10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C66D-203D-4D5F-A8F2-90473517FB9A}">
  <sheetPr>
    <tabColor rgb="FFFFFF00"/>
  </sheetPr>
  <dimension ref="A1:C27"/>
  <sheetViews>
    <sheetView showGridLines="0" workbookViewId="0">
      <selection activeCell="A3" sqref="A3:XFD3"/>
    </sheetView>
  </sheetViews>
  <sheetFormatPr defaultRowHeight="14.4" x14ac:dyDescent="0.3"/>
  <cols>
    <col min="1" max="1" width="24.6640625" customWidth="1"/>
    <col min="2" max="2" width="70.88671875" customWidth="1"/>
    <col min="3" max="3" width="79.44140625" customWidth="1"/>
    <col min="4" max="4" width="8.88671875" customWidth="1"/>
  </cols>
  <sheetData>
    <row r="1" spans="1:3" ht="21" x14ac:dyDescent="0.4">
      <c r="A1" s="152" t="s">
        <v>213</v>
      </c>
      <c r="B1" s="153"/>
      <c r="C1" s="153"/>
    </row>
    <row r="2" spans="1:3" ht="15" thickBot="1" x14ac:dyDescent="0.35"/>
    <row r="3" spans="1:3" ht="18.600000000000001" thickBot="1" x14ac:dyDescent="0.4">
      <c r="A3" s="79" t="s">
        <v>214</v>
      </c>
      <c r="B3" s="79" t="s">
        <v>216</v>
      </c>
      <c r="C3" s="79" t="s">
        <v>219</v>
      </c>
    </row>
    <row r="4" spans="1:3" ht="43.8" thickBot="1" x14ac:dyDescent="0.35">
      <c r="A4" s="80" t="s">
        <v>215</v>
      </c>
      <c r="B4" s="73" t="s">
        <v>223</v>
      </c>
      <c r="C4" s="74" t="s">
        <v>227</v>
      </c>
    </row>
    <row r="5" spans="1:3" x14ac:dyDescent="0.3">
      <c r="A5" s="81"/>
      <c r="B5" s="57" t="s">
        <v>217</v>
      </c>
      <c r="C5" s="55" t="s">
        <v>224</v>
      </c>
    </row>
    <row r="6" spans="1:3" ht="28.8" x14ac:dyDescent="0.3">
      <c r="A6" s="81"/>
      <c r="B6" s="57" t="s">
        <v>218</v>
      </c>
      <c r="C6" s="56" t="s">
        <v>220</v>
      </c>
    </row>
    <row r="7" spans="1:3" ht="43.2" x14ac:dyDescent="0.3">
      <c r="A7" s="81"/>
      <c r="B7" s="57" t="s">
        <v>226</v>
      </c>
      <c r="C7" s="56" t="s">
        <v>221</v>
      </c>
    </row>
    <row r="8" spans="1:3" ht="29.4" thickBot="1" x14ac:dyDescent="0.35">
      <c r="A8" s="82"/>
      <c r="B8" s="58"/>
      <c r="C8" s="59" t="s">
        <v>222</v>
      </c>
    </row>
    <row r="9" spans="1:3" ht="15" thickBot="1" x14ac:dyDescent="0.35">
      <c r="A9" s="85"/>
      <c r="B9" s="86"/>
      <c r="C9" s="86"/>
    </row>
    <row r="10" spans="1:3" ht="28.8" x14ac:dyDescent="0.3">
      <c r="A10" s="61" t="s">
        <v>228</v>
      </c>
      <c r="B10" s="64" t="s">
        <v>239</v>
      </c>
      <c r="C10" s="62" t="s">
        <v>241</v>
      </c>
    </row>
    <row r="11" spans="1:3" ht="29.4" thickBot="1" x14ac:dyDescent="0.35">
      <c r="A11" s="63"/>
      <c r="B11" s="88" t="s">
        <v>240</v>
      </c>
      <c r="C11" s="87"/>
    </row>
    <row r="12" spans="1:3" ht="43.2" x14ac:dyDescent="0.3">
      <c r="A12" s="61" t="s">
        <v>229</v>
      </c>
      <c r="B12" s="64" t="s">
        <v>245</v>
      </c>
      <c r="C12" s="89" t="s">
        <v>227</v>
      </c>
    </row>
    <row r="13" spans="1:3" ht="57.6" x14ac:dyDescent="0.3">
      <c r="A13" s="83"/>
      <c r="B13" s="90" t="s">
        <v>242</v>
      </c>
      <c r="C13" s="91" t="s">
        <v>243</v>
      </c>
    </row>
    <row r="14" spans="1:3" x14ac:dyDescent="0.3">
      <c r="A14" s="83"/>
      <c r="B14" s="90"/>
      <c r="C14" s="91" t="s">
        <v>244</v>
      </c>
    </row>
    <row r="15" spans="1:3" x14ac:dyDescent="0.3">
      <c r="A15" s="83"/>
      <c r="B15" s="90"/>
      <c r="C15" s="91" t="s">
        <v>246</v>
      </c>
    </row>
    <row r="16" spans="1:3" x14ac:dyDescent="0.3">
      <c r="A16" s="83"/>
      <c r="B16" s="84"/>
      <c r="C16" s="92" t="s">
        <v>247</v>
      </c>
    </row>
    <row r="17" spans="1:3" ht="58.2" thickBot="1" x14ac:dyDescent="0.35">
      <c r="A17" s="63"/>
      <c r="B17" s="65" t="s">
        <v>248</v>
      </c>
      <c r="C17" s="60"/>
    </row>
    <row r="18" spans="1:3" ht="15" thickBot="1" x14ac:dyDescent="0.35">
      <c r="A18" s="85"/>
      <c r="B18" s="86"/>
      <c r="C18" s="86"/>
    </row>
    <row r="19" spans="1:3" ht="28.8" x14ac:dyDescent="0.3">
      <c r="A19" s="76" t="s">
        <v>249</v>
      </c>
      <c r="B19" s="66" t="s">
        <v>233</v>
      </c>
      <c r="C19" s="67" t="s">
        <v>234</v>
      </c>
    </row>
    <row r="20" spans="1:3" ht="28.8" x14ac:dyDescent="0.3">
      <c r="A20" s="77"/>
      <c r="B20" s="68"/>
      <c r="C20" s="69" t="s">
        <v>237</v>
      </c>
    </row>
    <row r="21" spans="1:3" ht="28.8" x14ac:dyDescent="0.3">
      <c r="A21" s="77"/>
      <c r="B21" s="68"/>
      <c r="C21" s="69" t="s">
        <v>235</v>
      </c>
    </row>
    <row r="22" spans="1:3" ht="72" x14ac:dyDescent="0.3">
      <c r="A22" s="77"/>
      <c r="B22" s="70"/>
      <c r="C22" s="69" t="s">
        <v>236</v>
      </c>
    </row>
    <row r="23" spans="1:3" ht="29.4" thickBot="1" x14ac:dyDescent="0.35">
      <c r="A23" s="78"/>
      <c r="B23" s="71"/>
      <c r="C23" s="72" t="s">
        <v>238</v>
      </c>
    </row>
    <row r="24" spans="1:3" ht="15" thickBot="1" x14ac:dyDescent="0.35">
      <c r="A24" s="85"/>
      <c r="B24" s="86"/>
      <c r="C24" s="86"/>
    </row>
    <row r="25" spans="1:3" ht="43.8" thickBot="1" x14ac:dyDescent="0.35">
      <c r="A25" s="75" t="s">
        <v>230</v>
      </c>
      <c r="B25" s="53" t="s">
        <v>231</v>
      </c>
      <c r="C25" s="54" t="s">
        <v>232</v>
      </c>
    </row>
    <row r="27" spans="1:3" x14ac:dyDescent="0.3">
      <c r="A27" s="4" t="s">
        <v>250</v>
      </c>
      <c r="B27" s="151" t="s">
        <v>251</v>
      </c>
      <c r="C27" s="4" t="s">
        <v>252</v>
      </c>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4DF6-A400-42FB-A963-C6FC55C4C702}">
  <sheetPr codeName="Blad7">
    <tabColor theme="4" tint="0.79998168889431442"/>
  </sheetPr>
  <dimension ref="A1:P39"/>
  <sheetViews>
    <sheetView tabSelected="1" workbookViewId="0">
      <selection activeCell="D19" sqref="D19"/>
    </sheetView>
  </sheetViews>
  <sheetFormatPr defaultColWidth="9.33203125" defaultRowHeight="13.8" x14ac:dyDescent="0.3"/>
  <cols>
    <col min="1" max="1" width="4.5546875" style="19" customWidth="1"/>
    <col min="2" max="2" width="31.5546875" style="19" customWidth="1"/>
    <col min="3" max="3" width="26.44140625" style="19" customWidth="1"/>
    <col min="4" max="4" width="14" style="19" customWidth="1"/>
    <col min="5" max="5" width="12.5546875" style="19" customWidth="1"/>
    <col min="6" max="6" width="15.88671875" style="19" customWidth="1"/>
    <col min="7" max="15" width="12.5546875" style="19" customWidth="1"/>
    <col min="16" max="16" width="11.6640625" style="19" bestFit="1" customWidth="1"/>
    <col min="17" max="16384" width="9.33203125" style="19"/>
  </cols>
  <sheetData>
    <row r="1" spans="1:16" ht="12.75" customHeight="1" x14ac:dyDescent="0.35">
      <c r="A1" s="18" t="s">
        <v>40</v>
      </c>
      <c r="B1" s="138"/>
      <c r="C1" s="22"/>
      <c r="D1" s="22"/>
      <c r="E1" s="22"/>
      <c r="F1" s="22"/>
      <c r="G1" s="22"/>
      <c r="H1" s="22"/>
      <c r="I1" s="22"/>
      <c r="J1" s="22"/>
      <c r="K1" s="22"/>
      <c r="L1" s="22"/>
      <c r="M1" s="22"/>
      <c r="N1" s="22"/>
      <c r="O1" s="22"/>
      <c r="P1" s="22"/>
    </row>
    <row r="2" spans="1:16" x14ac:dyDescent="0.3">
      <c r="A2" s="18"/>
      <c r="B2" s="22"/>
      <c r="C2" s="160" t="s">
        <v>41</v>
      </c>
      <c r="D2" s="160"/>
      <c r="E2" s="107"/>
      <c r="F2" s="164" t="s">
        <v>42</v>
      </c>
      <c r="G2" s="164"/>
      <c r="H2" s="164"/>
      <c r="I2" s="164"/>
      <c r="J2" s="164"/>
      <c r="K2" s="164"/>
      <c r="L2" s="164"/>
      <c r="M2" s="164"/>
      <c r="N2" s="104"/>
      <c r="O2" s="22"/>
      <c r="P2" s="22"/>
    </row>
    <row r="3" spans="1:16" ht="12.75" customHeight="1" x14ac:dyDescent="0.3">
      <c r="A3" s="18"/>
      <c r="B3" s="22"/>
      <c r="C3" s="108" t="s">
        <v>43</v>
      </c>
      <c r="D3" s="26" t="s">
        <v>44</v>
      </c>
      <c r="E3" s="109" t="s">
        <v>45</v>
      </c>
      <c r="F3" s="165">
        <v>5330</v>
      </c>
      <c r="G3" s="165"/>
      <c r="H3" s="165"/>
      <c r="I3" s="161" t="str">
        <f>VLOOKUP($F$3,'4. Parameters'!$B:$C,2,0)</f>
        <v>Test_WG18</v>
      </c>
      <c r="J3" s="162"/>
      <c r="K3" s="162"/>
      <c r="L3" s="162"/>
      <c r="M3" s="163"/>
      <c r="N3" s="104"/>
      <c r="O3" s="22"/>
      <c r="P3" s="22"/>
    </row>
    <row r="4" spans="1:16" ht="12.75" customHeight="1" x14ac:dyDescent="0.3">
      <c r="A4" s="18"/>
      <c r="B4" s="22"/>
      <c r="C4" s="108" t="s">
        <v>4</v>
      </c>
      <c r="D4" s="27">
        <v>123456789</v>
      </c>
      <c r="E4" s="109"/>
      <c r="F4" s="110" t="s">
        <v>13</v>
      </c>
      <c r="G4" s="154" t="str">
        <f>IF($G$5=2025,VLOOKUP($F$3,'4. Parameters'!$B:$P,8,0),VLOOKUP($F$3,'4. Parameters'!$B:$P,15,0))</f>
        <v>PNO4</v>
      </c>
      <c r="H4" s="155"/>
      <c r="I4" s="155"/>
      <c r="J4" s="155"/>
      <c r="K4" s="155"/>
      <c r="L4" s="155"/>
      <c r="M4" s="156"/>
      <c r="N4" s="104"/>
      <c r="O4" s="22"/>
      <c r="P4" s="22"/>
    </row>
    <row r="5" spans="1:16" x14ac:dyDescent="0.3">
      <c r="A5" s="18"/>
      <c r="B5" s="22"/>
      <c r="C5" s="108" t="s">
        <v>46</v>
      </c>
      <c r="D5" s="27"/>
      <c r="E5" s="109" t="s">
        <v>29</v>
      </c>
      <c r="F5" s="110" t="s">
        <v>47</v>
      </c>
      <c r="G5" s="28">
        <v>2025</v>
      </c>
      <c r="H5" s="104"/>
      <c r="I5" s="111"/>
      <c r="J5" s="111"/>
      <c r="K5" s="111"/>
      <c r="L5" s="111"/>
      <c r="M5" s="111"/>
      <c r="N5" s="104"/>
      <c r="O5" s="22"/>
      <c r="P5" s="22"/>
    </row>
    <row r="6" spans="1:16" x14ac:dyDescent="0.3">
      <c r="A6" s="18"/>
      <c r="B6" s="22"/>
      <c r="C6" s="108" t="s">
        <v>48</v>
      </c>
      <c r="D6" s="26">
        <v>25241</v>
      </c>
      <c r="E6" s="109">
        <v>18475</v>
      </c>
      <c r="F6" s="108" t="s">
        <v>19</v>
      </c>
      <c r="G6" s="50">
        <f>IF($G$5=2025,VLOOKUP($F$3,'4. Parameters'!$B:$P,10,0),VLOOKUP($F$3,'4. Parameters'!$B:$P,3,0))</f>
        <v>19795</v>
      </c>
      <c r="H6" s="111"/>
      <c r="I6" s="111"/>
      <c r="J6" s="111"/>
      <c r="K6" s="111"/>
      <c r="L6" s="111"/>
      <c r="M6" s="111"/>
      <c r="N6" s="104"/>
      <c r="O6" s="22"/>
      <c r="P6" s="22"/>
    </row>
    <row r="7" spans="1:16" x14ac:dyDescent="0.3">
      <c r="A7" s="18"/>
      <c r="B7" s="22"/>
      <c r="C7" s="108" t="s">
        <v>225</v>
      </c>
      <c r="D7" s="112" t="str">
        <f>IF(YEAR(D6)&gt;=1960,"67 en 3 maanden",IF(YEAR(D6)&gt;=1957,"67 jaar","67 jaar"))</f>
        <v>67 en 3 maanden</v>
      </c>
      <c r="E7" s="109">
        <v>75864</v>
      </c>
      <c r="F7" s="108" t="s">
        <v>49</v>
      </c>
      <c r="G7" s="113">
        <f>IF($G$5=2025,VLOOKUP($F$3,'4. Parameters'!$B:$P,11,0),VLOOKUP($F$3,'4. Parameters'!$B:$P,4,0))</f>
        <v>137800</v>
      </c>
      <c r="H7" s="111"/>
      <c r="I7" s="111"/>
      <c r="J7" s="111"/>
      <c r="K7" s="111"/>
      <c r="L7" s="111"/>
      <c r="M7" s="111"/>
      <c r="N7" s="104"/>
      <c r="O7" s="22"/>
      <c r="P7" s="22"/>
    </row>
    <row r="8" spans="1:16" x14ac:dyDescent="0.3">
      <c r="A8" s="18"/>
      <c r="B8" s="22"/>
      <c r="C8" s="108" t="s">
        <v>50</v>
      </c>
      <c r="D8" s="112" t="str">
        <f>_xlfn.CONCAT("1-",MONTH(D6),"-",YEAR(D6)+68)</f>
        <v>1-2-2037</v>
      </c>
      <c r="E8" s="109" t="s">
        <v>51</v>
      </c>
      <c r="F8" s="104"/>
      <c r="G8" s="104"/>
      <c r="H8" s="104"/>
      <c r="I8" s="111"/>
      <c r="J8" s="111"/>
      <c r="K8" s="111"/>
      <c r="L8" s="111"/>
      <c r="M8" s="111"/>
      <c r="N8" s="104"/>
      <c r="O8" s="22"/>
      <c r="P8" s="22"/>
    </row>
    <row r="9" spans="1:16" x14ac:dyDescent="0.3">
      <c r="A9" s="18"/>
      <c r="B9" s="22"/>
      <c r="C9" s="108" t="s">
        <v>52</v>
      </c>
      <c r="D9" s="31" t="s">
        <v>29</v>
      </c>
      <c r="E9" s="109"/>
      <c r="F9" s="108" t="s">
        <v>53</v>
      </c>
      <c r="G9" s="20">
        <f>IF($G$5=2024,VLOOKUP($F3,'4. Parameters'!$B:$I,5,0),VLOOKUP($F3,'4. Parameters'!$B:$P,12,0))</f>
        <v>2.4E-2</v>
      </c>
      <c r="H9" s="111"/>
      <c r="I9" s="111"/>
      <c r="J9" s="111"/>
      <c r="K9" s="111"/>
      <c r="L9" s="111"/>
      <c r="M9" s="111"/>
      <c r="N9" s="104"/>
      <c r="O9" s="22"/>
      <c r="P9" s="22"/>
    </row>
    <row r="10" spans="1:16" x14ac:dyDescent="0.3">
      <c r="A10" s="18"/>
      <c r="B10" s="22"/>
      <c r="C10" s="104"/>
      <c r="D10" s="104"/>
      <c r="E10" s="109"/>
      <c r="F10" s="108" t="s">
        <v>54</v>
      </c>
      <c r="G10" s="20">
        <f>IF($G$5=2024,VLOOKUP($F3,'4. Parameters'!B:H,6,0),VLOOKUP($F3,'4. Parameters'!B:O,13,0))</f>
        <v>0.20499999999999999</v>
      </c>
      <c r="H10" s="111"/>
      <c r="I10" s="111"/>
      <c r="J10" s="111"/>
      <c r="K10" s="111"/>
      <c r="L10" s="111"/>
      <c r="M10" s="111"/>
      <c r="N10" s="104"/>
      <c r="O10" s="22"/>
    </row>
    <row r="11" spans="1:16" x14ac:dyDescent="0.3">
      <c r="A11" s="18"/>
      <c r="B11" s="22"/>
      <c r="C11" s="160" t="s">
        <v>55</v>
      </c>
      <c r="D11" s="160"/>
      <c r="E11" s="109"/>
      <c r="F11" s="108" t="s">
        <v>56</v>
      </c>
      <c r="G11" s="20">
        <f>IF($G$5=2024,VLOOKUP($F3,'4. Parameters'!B:H,7,0),VLOOKUP($F3,'4. Parameters'!B:O,14,0))</f>
        <v>2.3E-2</v>
      </c>
      <c r="H11" s="111"/>
      <c r="I11" s="111"/>
      <c r="J11" s="111"/>
      <c r="K11" s="111"/>
      <c r="L11" s="111"/>
      <c r="M11" s="111"/>
      <c r="N11" s="104"/>
      <c r="O11" s="22"/>
    </row>
    <row r="12" spans="1:16" ht="13.5" customHeight="1" x14ac:dyDescent="0.3">
      <c r="A12" s="18"/>
      <c r="B12" s="22"/>
      <c r="C12" s="108" t="s">
        <v>57</v>
      </c>
      <c r="D12" s="29">
        <v>160000</v>
      </c>
      <c r="E12" s="109"/>
      <c r="F12" s="111"/>
      <c r="G12" s="111"/>
      <c r="H12" s="111"/>
      <c r="I12" s="111"/>
      <c r="J12" s="111"/>
      <c r="K12" s="111"/>
      <c r="L12" s="111"/>
      <c r="M12" s="111"/>
      <c r="N12" s="104"/>
      <c r="O12" s="22"/>
    </row>
    <row r="13" spans="1:16" ht="13.5" customHeight="1" x14ac:dyDescent="0.3">
      <c r="A13" s="18"/>
      <c r="B13" s="22"/>
      <c r="C13" s="108" t="s">
        <v>58</v>
      </c>
      <c r="D13" s="30">
        <v>1</v>
      </c>
      <c r="E13" s="139" t="str">
        <f>IF(D13&gt;100%,"MAXIMAAL 100%!!"," ")</f>
        <v xml:space="preserve"> </v>
      </c>
      <c r="F13" s="111"/>
      <c r="G13" s="111"/>
      <c r="H13" s="111"/>
      <c r="I13" s="111"/>
      <c r="J13" s="111"/>
      <c r="K13" s="111"/>
      <c r="L13" s="111"/>
      <c r="M13" s="111"/>
      <c r="N13" s="104"/>
      <c r="O13" s="22"/>
    </row>
    <row r="14" spans="1:16" ht="13.5" customHeight="1" x14ac:dyDescent="0.3">
      <c r="A14" s="18"/>
      <c r="B14" s="22"/>
      <c r="C14" s="22"/>
      <c r="D14" s="104"/>
      <c r="E14" s="109"/>
      <c r="F14" s="111"/>
      <c r="G14" s="111"/>
      <c r="H14" s="111"/>
      <c r="I14" s="111"/>
      <c r="J14" s="111"/>
      <c r="K14" s="111"/>
      <c r="L14" s="111"/>
      <c r="M14" s="111"/>
      <c r="N14" s="104"/>
      <c r="O14" s="22"/>
    </row>
    <row r="15" spans="1:16" ht="14.4" thickBot="1" x14ac:dyDescent="0.35">
      <c r="A15" s="18"/>
      <c r="B15" s="22"/>
      <c r="C15" s="22"/>
      <c r="D15" s="104"/>
      <c r="E15" s="109"/>
      <c r="F15" s="22"/>
      <c r="G15" s="24"/>
      <c r="H15" s="23"/>
      <c r="I15" s="111"/>
      <c r="J15" s="111"/>
      <c r="K15" s="111"/>
      <c r="L15" s="111"/>
      <c r="M15" s="111"/>
      <c r="N15" s="104"/>
      <c r="O15" s="22"/>
    </row>
    <row r="16" spans="1:16" s="21" customFormat="1" x14ac:dyDescent="0.3">
      <c r="B16" s="120" t="s">
        <v>59</v>
      </c>
      <c r="C16" s="121"/>
      <c r="D16" s="121" t="s">
        <v>60</v>
      </c>
      <c r="E16" s="121" t="s">
        <v>61</v>
      </c>
      <c r="F16" s="121" t="s">
        <v>62</v>
      </c>
      <c r="G16" s="121" t="s">
        <v>63</v>
      </c>
      <c r="H16" s="121" t="s">
        <v>64</v>
      </c>
      <c r="I16" s="121" t="s">
        <v>65</v>
      </c>
      <c r="J16" s="121" t="s">
        <v>66</v>
      </c>
      <c r="K16" s="121" t="s">
        <v>67</v>
      </c>
      <c r="L16" s="121" t="s">
        <v>68</v>
      </c>
      <c r="M16" s="121" t="s">
        <v>69</v>
      </c>
      <c r="N16" s="121" t="s">
        <v>70</v>
      </c>
      <c r="O16" s="122" t="s">
        <v>71</v>
      </c>
      <c r="P16" s="19"/>
    </row>
    <row r="17" spans="2:16" x14ac:dyDescent="0.3">
      <c r="B17" s="123" t="s">
        <v>57</v>
      </c>
      <c r="C17" s="124"/>
      <c r="D17" s="114">
        <f t="shared" ref="D17:O17" si="0">MIN($D$12,$G$7)</f>
        <v>137800</v>
      </c>
      <c r="E17" s="114">
        <f t="shared" si="0"/>
        <v>137800</v>
      </c>
      <c r="F17" s="114">
        <f t="shared" si="0"/>
        <v>137800</v>
      </c>
      <c r="G17" s="114">
        <f t="shared" si="0"/>
        <v>137800</v>
      </c>
      <c r="H17" s="114">
        <f t="shared" si="0"/>
        <v>137800</v>
      </c>
      <c r="I17" s="114">
        <f t="shared" si="0"/>
        <v>137800</v>
      </c>
      <c r="J17" s="114">
        <f t="shared" si="0"/>
        <v>137800</v>
      </c>
      <c r="K17" s="114">
        <f t="shared" si="0"/>
        <v>137800</v>
      </c>
      <c r="L17" s="114">
        <f t="shared" si="0"/>
        <v>137800</v>
      </c>
      <c r="M17" s="114">
        <f t="shared" si="0"/>
        <v>137800</v>
      </c>
      <c r="N17" s="114">
        <f t="shared" si="0"/>
        <v>137800</v>
      </c>
      <c r="O17" s="125">
        <f t="shared" si="0"/>
        <v>137800</v>
      </c>
    </row>
    <row r="18" spans="2:16" x14ac:dyDescent="0.3">
      <c r="B18" s="123" t="s">
        <v>11</v>
      </c>
      <c r="C18" s="124" t="s">
        <v>72</v>
      </c>
      <c r="D18" s="140">
        <f>IF((D17-$G$6)&lt;0,0,(D17-$G$6))/12*$D$13</f>
        <v>9833.75</v>
      </c>
      <c r="E18" s="140">
        <f t="shared" ref="E18:O18" si="1">IF((E17-$G$6)&lt;0,0,(E17-$G$6))/12*$D$13</f>
        <v>9833.75</v>
      </c>
      <c r="F18" s="140">
        <f t="shared" si="1"/>
        <v>9833.75</v>
      </c>
      <c r="G18" s="140">
        <f t="shared" si="1"/>
        <v>9833.75</v>
      </c>
      <c r="H18" s="140">
        <f t="shared" si="1"/>
        <v>9833.75</v>
      </c>
      <c r="I18" s="140">
        <f t="shared" si="1"/>
        <v>9833.75</v>
      </c>
      <c r="J18" s="140">
        <f t="shared" si="1"/>
        <v>9833.75</v>
      </c>
      <c r="K18" s="140">
        <f t="shared" si="1"/>
        <v>9833.75</v>
      </c>
      <c r="L18" s="140">
        <f t="shared" si="1"/>
        <v>9833.75</v>
      </c>
      <c r="M18" s="140">
        <f t="shared" si="1"/>
        <v>9833.75</v>
      </c>
      <c r="N18" s="140">
        <f t="shared" si="1"/>
        <v>9833.75</v>
      </c>
      <c r="O18" s="126">
        <f t="shared" si="1"/>
        <v>9833.75</v>
      </c>
      <c r="P18" s="25"/>
    </row>
    <row r="19" spans="2:16" x14ac:dyDescent="0.3">
      <c r="B19" s="123" t="s">
        <v>73</v>
      </c>
      <c r="C19" s="124" t="s">
        <v>72</v>
      </c>
      <c r="D19" s="140">
        <f>D18*$G$10</f>
        <v>2015.9187499999998</v>
      </c>
      <c r="E19" s="140">
        <f t="shared" ref="E19:O19" si="2">E18*$G$10</f>
        <v>2015.9187499999998</v>
      </c>
      <c r="F19" s="140">
        <f t="shared" si="2"/>
        <v>2015.9187499999998</v>
      </c>
      <c r="G19" s="140">
        <f t="shared" si="2"/>
        <v>2015.9187499999998</v>
      </c>
      <c r="H19" s="140">
        <f t="shared" si="2"/>
        <v>2015.9187499999998</v>
      </c>
      <c r="I19" s="140">
        <f t="shared" si="2"/>
        <v>2015.9187499999998</v>
      </c>
      <c r="J19" s="140">
        <f t="shared" si="2"/>
        <v>2015.9187499999998</v>
      </c>
      <c r="K19" s="140">
        <f t="shared" si="2"/>
        <v>2015.9187499999998</v>
      </c>
      <c r="L19" s="140">
        <f t="shared" si="2"/>
        <v>2015.9187499999998</v>
      </c>
      <c r="M19" s="140">
        <f t="shared" si="2"/>
        <v>2015.9187499999998</v>
      </c>
      <c r="N19" s="140">
        <f t="shared" si="2"/>
        <v>2015.9187499999998</v>
      </c>
      <c r="O19" s="126">
        <f t="shared" si="2"/>
        <v>2015.9187499999998</v>
      </c>
      <c r="P19" s="25"/>
    </row>
    <row r="20" spans="2:16" x14ac:dyDescent="0.3">
      <c r="B20" s="123" t="s">
        <v>261</v>
      </c>
      <c r="C20" s="124" t="s">
        <v>72</v>
      </c>
      <c r="D20" s="140">
        <f>($D$12-D17)/12*$G$11*$D$13</f>
        <v>42.55</v>
      </c>
      <c r="E20" s="140">
        <f t="shared" ref="E20:O20" si="3">($D$12-E17)/12*$G$11*$D$13</f>
        <v>42.55</v>
      </c>
      <c r="F20" s="140">
        <f t="shared" si="3"/>
        <v>42.55</v>
      </c>
      <c r="G20" s="140">
        <f t="shared" si="3"/>
        <v>42.55</v>
      </c>
      <c r="H20" s="140">
        <f t="shared" si="3"/>
        <v>42.55</v>
      </c>
      <c r="I20" s="140">
        <f t="shared" si="3"/>
        <v>42.55</v>
      </c>
      <c r="J20" s="140">
        <f t="shared" si="3"/>
        <v>42.55</v>
      </c>
      <c r="K20" s="140">
        <f t="shared" si="3"/>
        <v>42.55</v>
      </c>
      <c r="L20" s="140">
        <f t="shared" si="3"/>
        <v>42.55</v>
      </c>
      <c r="M20" s="140">
        <f t="shared" si="3"/>
        <v>42.55</v>
      </c>
      <c r="N20" s="140">
        <f t="shared" si="3"/>
        <v>42.55</v>
      </c>
      <c r="O20" s="126">
        <f t="shared" si="3"/>
        <v>42.55</v>
      </c>
      <c r="P20" s="25"/>
    </row>
    <row r="21" spans="2:16" x14ac:dyDescent="0.3">
      <c r="B21" s="123" t="s">
        <v>74</v>
      </c>
      <c r="C21" s="124" t="s">
        <v>75</v>
      </c>
      <c r="D21" s="140">
        <f>D19+D20</f>
        <v>2058.46875</v>
      </c>
      <c r="E21" s="140">
        <f>(E19+E20)+D21</f>
        <v>4116.9375</v>
      </c>
      <c r="F21" s="140">
        <f t="shared" ref="F21:O21" si="4">(F19+F20)+E21</f>
        <v>6175.40625</v>
      </c>
      <c r="G21" s="140">
        <f t="shared" si="4"/>
        <v>8233.875</v>
      </c>
      <c r="H21" s="140">
        <f t="shared" si="4"/>
        <v>10292.34375</v>
      </c>
      <c r="I21" s="140">
        <f t="shared" si="4"/>
        <v>12350.8125</v>
      </c>
      <c r="J21" s="140">
        <f t="shared" si="4"/>
        <v>14409.28125</v>
      </c>
      <c r="K21" s="140">
        <f t="shared" si="4"/>
        <v>16467.75</v>
      </c>
      <c r="L21" s="140">
        <f t="shared" si="4"/>
        <v>18526.21875</v>
      </c>
      <c r="M21" s="140">
        <f t="shared" si="4"/>
        <v>20584.6875</v>
      </c>
      <c r="N21" s="140">
        <f t="shared" si="4"/>
        <v>22643.15625</v>
      </c>
      <c r="O21" s="126">
        <f t="shared" si="4"/>
        <v>24701.625</v>
      </c>
    </row>
    <row r="22" spans="2:16" x14ac:dyDescent="0.3">
      <c r="B22" s="123"/>
      <c r="C22" s="124"/>
      <c r="D22" s="140"/>
      <c r="E22" s="140"/>
      <c r="F22" s="140"/>
      <c r="G22" s="140"/>
      <c r="H22" s="140"/>
      <c r="I22" s="140"/>
      <c r="J22" s="140"/>
      <c r="K22" s="140"/>
      <c r="L22" s="140"/>
      <c r="M22" s="140"/>
      <c r="N22" s="140"/>
      <c r="O22" s="126"/>
    </row>
    <row r="23" spans="2:16" x14ac:dyDescent="0.3">
      <c r="B23" s="123" t="s">
        <v>76</v>
      </c>
      <c r="C23" s="124" t="s">
        <v>72</v>
      </c>
      <c r="D23" s="141">
        <f>IF($D$9="Ja",D18*$G$9,0)</f>
        <v>0</v>
      </c>
      <c r="E23" s="141">
        <f t="shared" ref="E23:O23" si="5">IF($D$9="Ja",E18*$G$9,0)</f>
        <v>0</v>
      </c>
      <c r="F23" s="141">
        <f t="shared" si="5"/>
        <v>0</v>
      </c>
      <c r="G23" s="141">
        <f t="shared" si="5"/>
        <v>0</v>
      </c>
      <c r="H23" s="141">
        <f t="shared" si="5"/>
        <v>0</v>
      </c>
      <c r="I23" s="141">
        <f t="shared" si="5"/>
        <v>0</v>
      </c>
      <c r="J23" s="141">
        <f t="shared" si="5"/>
        <v>0</v>
      </c>
      <c r="K23" s="141">
        <f t="shared" si="5"/>
        <v>0</v>
      </c>
      <c r="L23" s="141">
        <f t="shared" si="5"/>
        <v>0</v>
      </c>
      <c r="M23" s="141">
        <f t="shared" si="5"/>
        <v>0</v>
      </c>
      <c r="N23" s="141">
        <f t="shared" si="5"/>
        <v>0</v>
      </c>
      <c r="O23" s="142">
        <f t="shared" si="5"/>
        <v>0</v>
      </c>
    </row>
    <row r="24" spans="2:16" ht="14.4" thickBot="1" x14ac:dyDescent="0.35">
      <c r="B24" s="135" t="s">
        <v>74</v>
      </c>
      <c r="C24" s="136" t="s">
        <v>77</v>
      </c>
      <c r="D24" s="143">
        <f>D23</f>
        <v>0</v>
      </c>
      <c r="E24" s="143">
        <f>D24+E23</f>
        <v>0</v>
      </c>
      <c r="F24" s="143">
        <f t="shared" ref="F24:O24" si="6">E24+F23</f>
        <v>0</v>
      </c>
      <c r="G24" s="143">
        <f t="shared" si="6"/>
        <v>0</v>
      </c>
      <c r="H24" s="143">
        <f t="shared" si="6"/>
        <v>0</v>
      </c>
      <c r="I24" s="143">
        <f t="shared" si="6"/>
        <v>0</v>
      </c>
      <c r="J24" s="143">
        <f t="shared" si="6"/>
        <v>0</v>
      </c>
      <c r="K24" s="143">
        <f t="shared" si="6"/>
        <v>0</v>
      </c>
      <c r="L24" s="143">
        <f t="shared" si="6"/>
        <v>0</v>
      </c>
      <c r="M24" s="143">
        <f t="shared" si="6"/>
        <v>0</v>
      </c>
      <c r="N24" s="143">
        <f t="shared" si="6"/>
        <v>0</v>
      </c>
      <c r="O24" s="137">
        <f t="shared" si="6"/>
        <v>0</v>
      </c>
    </row>
    <row r="25" spans="2:16" x14ac:dyDescent="0.3">
      <c r="B25" s="104"/>
      <c r="C25" s="104"/>
      <c r="D25" s="104"/>
      <c r="E25" s="104"/>
      <c r="F25" s="104"/>
      <c r="G25" s="104"/>
      <c r="H25" s="104"/>
      <c r="I25" s="104"/>
      <c r="J25" s="104"/>
      <c r="K25" s="104"/>
      <c r="L25" s="104"/>
      <c r="M25" s="104"/>
      <c r="N25" s="104"/>
      <c r="O25" s="104"/>
    </row>
    <row r="26" spans="2:16" ht="14.4" thickBot="1" x14ac:dyDescent="0.35">
      <c r="B26" s="104"/>
      <c r="C26" s="104"/>
      <c r="D26" s="104"/>
      <c r="E26" s="104"/>
      <c r="F26" s="104"/>
      <c r="G26" s="104"/>
      <c r="H26" s="104"/>
      <c r="I26" s="104"/>
      <c r="J26" s="104"/>
      <c r="K26" s="104"/>
      <c r="L26" s="104"/>
      <c r="M26" s="104"/>
      <c r="N26" s="104"/>
      <c r="O26" s="104"/>
    </row>
    <row r="27" spans="2:16" ht="16.2" thickBot="1" x14ac:dyDescent="0.35">
      <c r="B27" s="157" t="s">
        <v>78</v>
      </c>
      <c r="C27" s="158"/>
      <c r="D27" s="158"/>
      <c r="E27" s="158"/>
      <c r="F27" s="158"/>
      <c r="G27" s="158"/>
      <c r="H27" s="158"/>
      <c r="I27" s="158"/>
      <c r="J27" s="158"/>
      <c r="K27" s="158"/>
      <c r="L27" s="158"/>
      <c r="M27" s="158"/>
      <c r="N27" s="158"/>
      <c r="O27" s="159"/>
    </row>
    <row r="28" spans="2:16" s="21" customFormat="1" ht="14.4" thickBot="1" x14ac:dyDescent="0.35">
      <c r="B28" s="106" t="s">
        <v>79</v>
      </c>
      <c r="C28" s="106"/>
      <c r="D28" s="106" t="s">
        <v>60</v>
      </c>
      <c r="E28" s="106" t="s">
        <v>61</v>
      </c>
      <c r="F28" s="106" t="s">
        <v>62</v>
      </c>
      <c r="G28" s="106" t="s">
        <v>63</v>
      </c>
      <c r="H28" s="106" t="s">
        <v>64</v>
      </c>
      <c r="I28" s="106" t="s">
        <v>65</v>
      </c>
      <c r="J28" s="106" t="s">
        <v>66</v>
      </c>
      <c r="K28" s="106" t="s">
        <v>67</v>
      </c>
      <c r="L28" s="106" t="s">
        <v>68</v>
      </c>
      <c r="M28" s="106" t="s">
        <v>69</v>
      </c>
      <c r="N28" s="106" t="s">
        <v>70</v>
      </c>
      <c r="O28" s="106" t="s">
        <v>71</v>
      </c>
    </row>
    <row r="29" spans="2:16" x14ac:dyDescent="0.3">
      <c r="B29" s="144" t="s">
        <v>80</v>
      </c>
      <c r="C29" s="145"/>
      <c r="D29" s="29">
        <v>160000</v>
      </c>
      <c r="E29" s="29">
        <v>75000</v>
      </c>
      <c r="F29" s="29">
        <v>137799</v>
      </c>
      <c r="G29" s="29">
        <f>F29</f>
        <v>137799</v>
      </c>
      <c r="H29" s="29">
        <v>75000</v>
      </c>
      <c r="I29" s="29">
        <f t="shared" ref="I29:O29" si="7">H29</f>
        <v>75000</v>
      </c>
      <c r="J29" s="29">
        <f t="shared" si="7"/>
        <v>75000</v>
      </c>
      <c r="K29" s="29">
        <f t="shared" si="7"/>
        <v>75000</v>
      </c>
      <c r="L29" s="29">
        <f t="shared" si="7"/>
        <v>75000</v>
      </c>
      <c r="M29" s="29">
        <f t="shared" si="7"/>
        <v>75000</v>
      </c>
      <c r="N29" s="29">
        <f t="shared" si="7"/>
        <v>75000</v>
      </c>
      <c r="O29" s="32">
        <f t="shared" si="7"/>
        <v>75000</v>
      </c>
    </row>
    <row r="30" spans="2:16" x14ac:dyDescent="0.3">
      <c r="B30" s="123" t="s">
        <v>81</v>
      </c>
      <c r="C30" s="146"/>
      <c r="D30" s="51">
        <v>0.5</v>
      </c>
      <c r="E30" s="51">
        <v>1</v>
      </c>
      <c r="F30" s="51">
        <v>0.75</v>
      </c>
      <c r="G30" s="51">
        <v>0.75</v>
      </c>
      <c r="H30" s="51">
        <v>0.5</v>
      </c>
      <c r="I30" s="51">
        <v>0.75</v>
      </c>
      <c r="J30" s="51">
        <v>0.75</v>
      </c>
      <c r="K30" s="51">
        <v>0.75</v>
      </c>
      <c r="L30" s="51">
        <v>0.75</v>
      </c>
      <c r="M30" s="51">
        <v>0.75</v>
      </c>
      <c r="N30" s="51">
        <v>0.75</v>
      </c>
      <c r="O30" s="52">
        <f t="shared" ref="O30" si="8">N30</f>
        <v>0.75</v>
      </c>
    </row>
    <row r="31" spans="2:16" s="21" customFormat="1" ht="14.4" thickBot="1" x14ac:dyDescent="0.35">
      <c r="B31" s="147" t="s">
        <v>59</v>
      </c>
      <c r="C31" s="147"/>
      <c r="D31" s="147" t="s">
        <v>60</v>
      </c>
      <c r="E31" s="147" t="s">
        <v>61</v>
      </c>
      <c r="F31" s="147" t="s">
        <v>62</v>
      </c>
      <c r="G31" s="147" t="s">
        <v>63</v>
      </c>
      <c r="H31" s="147" t="s">
        <v>64</v>
      </c>
      <c r="I31" s="147" t="s">
        <v>65</v>
      </c>
      <c r="J31" s="147" t="s">
        <v>66</v>
      </c>
      <c r="K31" s="147" t="s">
        <v>67</v>
      </c>
      <c r="L31" s="147" t="s">
        <v>68</v>
      </c>
      <c r="M31" s="147" t="s">
        <v>69</v>
      </c>
      <c r="N31" s="147" t="s">
        <v>70</v>
      </c>
      <c r="O31" s="147" t="s">
        <v>71</v>
      </c>
      <c r="P31" s="19"/>
    </row>
    <row r="32" spans="2:16" x14ac:dyDescent="0.3">
      <c r="B32" s="144" t="s">
        <v>57</v>
      </c>
      <c r="C32" s="148"/>
      <c r="D32" s="149">
        <f>MIN($D$29,$G$7)</f>
        <v>137800</v>
      </c>
      <c r="E32" s="149">
        <f>MIN($E$29,$G$7)</f>
        <v>75000</v>
      </c>
      <c r="F32" s="149">
        <f>MIN($F$29,$G$7)</f>
        <v>137799</v>
      </c>
      <c r="G32" s="149">
        <f>MIN($G$29,$G$7)</f>
        <v>137799</v>
      </c>
      <c r="H32" s="149">
        <f>MIN($H$29,$G$7)</f>
        <v>75000</v>
      </c>
      <c r="I32" s="149">
        <f>MIN($I$29,$G$7)</f>
        <v>75000</v>
      </c>
      <c r="J32" s="149">
        <f>MIN($J$29,$G$7)</f>
        <v>75000</v>
      </c>
      <c r="K32" s="149">
        <f>MIN($K$29,$G$7)</f>
        <v>75000</v>
      </c>
      <c r="L32" s="149">
        <f>MIN($L$29,$G$7)</f>
        <v>75000</v>
      </c>
      <c r="M32" s="149">
        <f>MIN($M$29,$G$7)</f>
        <v>75000</v>
      </c>
      <c r="N32" s="149">
        <f>MIN($N$29,$G$7)</f>
        <v>75000</v>
      </c>
      <c r="O32" s="150">
        <f>MIN($O$29,$G$7)</f>
        <v>75000</v>
      </c>
    </row>
    <row r="33" spans="2:16" x14ac:dyDescent="0.3">
      <c r="B33" s="123" t="s">
        <v>11</v>
      </c>
      <c r="C33" s="124" t="s">
        <v>72</v>
      </c>
      <c r="D33" s="140">
        <f t="shared" ref="D33:O33" si="9">IF((D32-$G$6)&lt;0,0,(D32-$G$6))/12*D30</f>
        <v>4916.875</v>
      </c>
      <c r="E33" s="140">
        <f t="shared" si="9"/>
        <v>4600.416666666667</v>
      </c>
      <c r="F33" s="140">
        <f t="shared" si="9"/>
        <v>7375.25</v>
      </c>
      <c r="G33" s="140">
        <f t="shared" si="9"/>
        <v>7375.25</v>
      </c>
      <c r="H33" s="140">
        <f t="shared" si="9"/>
        <v>2300.2083333333335</v>
      </c>
      <c r="I33" s="140">
        <f t="shared" si="9"/>
        <v>3450.3125</v>
      </c>
      <c r="J33" s="140">
        <f t="shared" si="9"/>
        <v>3450.3125</v>
      </c>
      <c r="K33" s="140">
        <f t="shared" si="9"/>
        <v>3450.3125</v>
      </c>
      <c r="L33" s="140">
        <f t="shared" si="9"/>
        <v>3450.3125</v>
      </c>
      <c r="M33" s="140">
        <f t="shared" si="9"/>
        <v>3450.3125</v>
      </c>
      <c r="N33" s="140">
        <f t="shared" si="9"/>
        <v>3450.3125</v>
      </c>
      <c r="O33" s="126">
        <f t="shared" si="9"/>
        <v>3450.3125</v>
      </c>
      <c r="P33" s="25"/>
    </row>
    <row r="34" spans="2:16" x14ac:dyDescent="0.3">
      <c r="B34" s="123" t="s">
        <v>73</v>
      </c>
      <c r="C34" s="124" t="s">
        <v>72</v>
      </c>
      <c r="D34" s="140">
        <f>D33*$G$10</f>
        <v>1007.9593749999999</v>
      </c>
      <c r="E34" s="140">
        <f t="shared" ref="E34" si="10">E33*$G$10</f>
        <v>943.08541666666667</v>
      </c>
      <c r="F34" s="140">
        <f t="shared" ref="F34" si="11">F33*$G$10</f>
        <v>1511.92625</v>
      </c>
      <c r="G34" s="140">
        <f t="shared" ref="G34" si="12">G33*$G$10</f>
        <v>1511.92625</v>
      </c>
      <c r="H34" s="140">
        <f t="shared" ref="H34" si="13">H33*$G$10</f>
        <v>471.54270833333334</v>
      </c>
      <c r="I34" s="140">
        <f t="shared" ref="I34" si="14">I33*$G$10</f>
        <v>707.31406249999998</v>
      </c>
      <c r="J34" s="140">
        <f t="shared" ref="J34" si="15">J33*$G$10</f>
        <v>707.31406249999998</v>
      </c>
      <c r="K34" s="140">
        <f t="shared" ref="K34" si="16">K33*$G$10</f>
        <v>707.31406249999998</v>
      </c>
      <c r="L34" s="140">
        <f t="shared" ref="L34" si="17">L33*$G$10</f>
        <v>707.31406249999998</v>
      </c>
      <c r="M34" s="140">
        <f t="shared" ref="M34" si="18">M33*$G$10</f>
        <v>707.31406249999998</v>
      </c>
      <c r="N34" s="140">
        <f t="shared" ref="N34" si="19">N33*$G$10</f>
        <v>707.31406249999998</v>
      </c>
      <c r="O34" s="126">
        <f t="shared" ref="O34" si="20">O33*$G$10</f>
        <v>707.31406249999998</v>
      </c>
      <c r="P34" s="25"/>
    </row>
    <row r="35" spans="2:16" x14ac:dyDescent="0.3">
      <c r="B35" s="123" t="s">
        <v>261</v>
      </c>
      <c r="C35" s="124" t="s">
        <v>72</v>
      </c>
      <c r="D35" s="140">
        <f>IF((D29-$G$7)&gt;0,D29-$G$7,0)/12*$G$11*D30</f>
        <v>21.274999999999999</v>
      </c>
      <c r="E35" s="140">
        <f t="shared" ref="E35:O35" si="21">IF((E29-$G$7)&gt;0,E29-$G$7,0)/12*$G$11*E30</f>
        <v>0</v>
      </c>
      <c r="F35" s="140">
        <f t="shared" si="21"/>
        <v>0</v>
      </c>
      <c r="G35" s="140">
        <f t="shared" si="21"/>
        <v>0</v>
      </c>
      <c r="H35" s="140">
        <f t="shared" si="21"/>
        <v>0</v>
      </c>
      <c r="I35" s="140">
        <f t="shared" si="21"/>
        <v>0</v>
      </c>
      <c r="J35" s="140">
        <f t="shared" si="21"/>
        <v>0</v>
      </c>
      <c r="K35" s="140">
        <f t="shared" si="21"/>
        <v>0</v>
      </c>
      <c r="L35" s="140">
        <f t="shared" si="21"/>
        <v>0</v>
      </c>
      <c r="M35" s="140">
        <f t="shared" si="21"/>
        <v>0</v>
      </c>
      <c r="N35" s="140">
        <f t="shared" si="21"/>
        <v>0</v>
      </c>
      <c r="O35" s="126">
        <f t="shared" si="21"/>
        <v>0</v>
      </c>
      <c r="P35" s="25"/>
    </row>
    <row r="36" spans="2:16" x14ac:dyDescent="0.3">
      <c r="B36" s="123" t="s">
        <v>74</v>
      </c>
      <c r="C36" s="124" t="s">
        <v>75</v>
      </c>
      <c r="D36" s="140">
        <f>(D34+D35)</f>
        <v>1029.234375</v>
      </c>
      <c r="E36" s="140">
        <f>(E34+E35)+D36</f>
        <v>1972.3197916666668</v>
      </c>
      <c r="F36" s="140">
        <f t="shared" ref="F36:O36" si="22">F34+E36</f>
        <v>3484.2460416666668</v>
      </c>
      <c r="G36" s="140">
        <f t="shared" si="22"/>
        <v>4996.1722916666668</v>
      </c>
      <c r="H36" s="140">
        <f t="shared" si="22"/>
        <v>5467.7150000000001</v>
      </c>
      <c r="I36" s="140">
        <f t="shared" si="22"/>
        <v>6175.0290624999998</v>
      </c>
      <c r="J36" s="140">
        <f t="shared" si="22"/>
        <v>6882.3431249999994</v>
      </c>
      <c r="K36" s="140">
        <f t="shared" si="22"/>
        <v>7589.6571874999991</v>
      </c>
      <c r="L36" s="140">
        <f t="shared" si="22"/>
        <v>8296.9712499999987</v>
      </c>
      <c r="M36" s="140">
        <f t="shared" si="22"/>
        <v>9004.2853124999983</v>
      </c>
      <c r="N36" s="140">
        <f t="shared" si="22"/>
        <v>9711.599374999998</v>
      </c>
      <c r="O36" s="126">
        <f t="shared" si="22"/>
        <v>10418.913437499998</v>
      </c>
      <c r="P36" s="25"/>
    </row>
    <row r="37" spans="2:16" x14ac:dyDescent="0.3">
      <c r="B37" s="123"/>
      <c r="C37" s="124"/>
      <c r="D37" s="140"/>
      <c r="E37" s="140"/>
      <c r="F37" s="140"/>
      <c r="G37" s="140"/>
      <c r="H37" s="140"/>
      <c r="I37" s="140"/>
      <c r="J37" s="140"/>
      <c r="K37" s="140"/>
      <c r="L37" s="140"/>
      <c r="M37" s="140"/>
      <c r="N37" s="140"/>
      <c r="O37" s="126"/>
    </row>
    <row r="38" spans="2:16" x14ac:dyDescent="0.3">
      <c r="B38" s="123" t="s">
        <v>76</v>
      </c>
      <c r="C38" s="124" t="s">
        <v>72</v>
      </c>
      <c r="D38" s="141">
        <f>IF($D$9="Ja",D33*$G$9,0)</f>
        <v>0</v>
      </c>
      <c r="E38" s="141">
        <f t="shared" ref="E38:O38" si="23">IF($D$9="Ja",E33*$G$9,0)</f>
        <v>0</v>
      </c>
      <c r="F38" s="141">
        <f t="shared" si="23"/>
        <v>0</v>
      </c>
      <c r="G38" s="141">
        <f t="shared" si="23"/>
        <v>0</v>
      </c>
      <c r="H38" s="141">
        <f t="shared" si="23"/>
        <v>0</v>
      </c>
      <c r="I38" s="141">
        <f t="shared" si="23"/>
        <v>0</v>
      </c>
      <c r="J38" s="141">
        <f t="shared" si="23"/>
        <v>0</v>
      </c>
      <c r="K38" s="141">
        <f t="shared" si="23"/>
        <v>0</v>
      </c>
      <c r="L38" s="141">
        <f t="shared" si="23"/>
        <v>0</v>
      </c>
      <c r="M38" s="141">
        <f t="shared" si="23"/>
        <v>0</v>
      </c>
      <c r="N38" s="141">
        <f t="shared" si="23"/>
        <v>0</v>
      </c>
      <c r="O38" s="142">
        <f t="shared" si="23"/>
        <v>0</v>
      </c>
    </row>
    <row r="39" spans="2:16" ht="14.4" thickBot="1" x14ac:dyDescent="0.35">
      <c r="B39" s="135" t="s">
        <v>74</v>
      </c>
      <c r="C39" s="136" t="s">
        <v>77</v>
      </c>
      <c r="D39" s="143">
        <f>D38</f>
        <v>0</v>
      </c>
      <c r="E39" s="143">
        <f>D39+E38</f>
        <v>0</v>
      </c>
      <c r="F39" s="143">
        <f t="shared" ref="F39" si="24">E39+F38</f>
        <v>0</v>
      </c>
      <c r="G39" s="143">
        <f t="shared" ref="G39" si="25">F39+G38</f>
        <v>0</v>
      </c>
      <c r="H39" s="143">
        <f t="shared" ref="H39" si="26">G39+H38</f>
        <v>0</v>
      </c>
      <c r="I39" s="143">
        <f t="shared" ref="I39" si="27">H39+I38</f>
        <v>0</v>
      </c>
      <c r="J39" s="143">
        <f t="shared" ref="J39" si="28">I39+J38</f>
        <v>0</v>
      </c>
      <c r="K39" s="143">
        <f t="shared" ref="K39" si="29">J39+K38</f>
        <v>0</v>
      </c>
      <c r="L39" s="143">
        <f t="shared" ref="L39" si="30">K39+L38</f>
        <v>0</v>
      </c>
      <c r="M39" s="143">
        <f t="shared" ref="M39" si="31">L39+M38</f>
        <v>0</v>
      </c>
      <c r="N39" s="143">
        <f t="shared" ref="N39" si="32">M39+N38</f>
        <v>0</v>
      </c>
      <c r="O39" s="137">
        <f t="shared" ref="O39" si="33">N39+O38</f>
        <v>0</v>
      </c>
    </row>
  </sheetData>
  <sheetProtection algorithmName="SHA-512" hashValue="FO3UWT/51K+TOj2Y9HM80xDlrKdqYtyGMKispHl/gREphPegun0GiTaqZi+SeXqb8k4f1b7IqqNFKRZLCrAj4Q==" saltValue="Ngyum9S3Z0zG3bMWmWhXQA==" spinCount="100000" sheet="1" objects="1" scenarios="1"/>
  <mergeCells count="7">
    <mergeCell ref="G4:M4"/>
    <mergeCell ref="B27:O27"/>
    <mergeCell ref="C2:D2"/>
    <mergeCell ref="I3:M3"/>
    <mergeCell ref="C11:D11"/>
    <mergeCell ref="F2:M2"/>
    <mergeCell ref="F3:H3"/>
  </mergeCells>
  <conditionalFormatting sqref="F4">
    <cfRule type="expression" dxfId="22" priority="1">
      <formula>OR($E$3="Nee",$E$3="N.v.t.")</formula>
    </cfRule>
  </conditionalFormatting>
  <conditionalFormatting sqref="F5:G5">
    <cfRule type="expression" dxfId="21" priority="30">
      <formula>OR($E$3="Nee",$E$3="N.v.t.")</formula>
    </cfRule>
  </conditionalFormatting>
  <conditionalFormatting sqref="G6:G7">
    <cfRule type="expression" dxfId="20" priority="26">
      <formula>OR(UPWGafw="Ja",E6="ovk")</formula>
    </cfRule>
  </conditionalFormatting>
  <conditionalFormatting sqref="G9:G11 G15:H15">
    <cfRule type="expression" dxfId="19" priority="25">
      <formula>$E$8="staffel"</formula>
    </cfRule>
  </conditionalFormatting>
  <conditionalFormatting sqref="G9:G11">
    <cfRule type="expression" dxfId="18" priority="22">
      <formula>OR(UPWGafw="Ja",E8="ovk")</formula>
    </cfRule>
  </conditionalFormatting>
  <conditionalFormatting sqref="G15:H15">
    <cfRule type="expression" dxfId="17" priority="99">
      <formula>OR(UPWGafw="Ja",#REF!="ovk")</formula>
    </cfRule>
  </conditionalFormatting>
  <conditionalFormatting sqref="H15">
    <cfRule type="expression" dxfId="16" priority="31">
      <formula>$E$8="staffel"</formula>
    </cfRule>
    <cfRule type="expression" dxfId="15" priority="102">
      <formula>OR(UPWGafw="Ja",#REF!="ovk")</formula>
    </cfRule>
  </conditionalFormatting>
  <dataValidations count="3">
    <dataValidation type="list" allowBlank="1" showInputMessage="1" showErrorMessage="1" sqref="F3:H3" xr:uid="{C996F6D8-DD74-4891-AC8E-E0A3ECCCE819}">
      <formula1>WerkgeversNummer</formula1>
    </dataValidation>
    <dataValidation type="list" allowBlank="1" showInputMessage="1" showErrorMessage="1" sqref="G5" xr:uid="{3A987005-9EB9-4447-B74A-CDAC05D1A31C}">
      <formula1>"2024, 2025"</formula1>
    </dataValidation>
    <dataValidation type="list" allowBlank="1" showInputMessage="1" showErrorMessage="1" sqref="D9" xr:uid="{268C0BCF-BEAB-406E-9BF1-806827C24E10}">
      <formula1>"Ja,Nee"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3C85F-F413-43E6-B552-241F8F408FAD}">
  <sheetPr>
    <tabColor theme="5" tint="0.79998168889431442"/>
  </sheetPr>
  <dimension ref="B1:O101"/>
  <sheetViews>
    <sheetView workbookViewId="0">
      <selection activeCell="B6" sqref="B6"/>
    </sheetView>
  </sheetViews>
  <sheetFormatPr defaultRowHeight="14.4" x14ac:dyDescent="0.3"/>
  <cols>
    <col min="1" max="1" width="7.109375" bestFit="1" customWidth="1"/>
    <col min="2" max="2" width="72.109375" bestFit="1" customWidth="1"/>
    <col min="3" max="3" width="24.109375" customWidth="1"/>
    <col min="4" max="4" width="74.33203125" customWidth="1"/>
    <col min="5" max="5" width="10.109375" bestFit="1" customWidth="1"/>
    <col min="12" max="12" width="12.109375" bestFit="1" customWidth="1"/>
    <col min="13" max="13" width="38.88671875" bestFit="1" customWidth="1"/>
  </cols>
  <sheetData>
    <row r="1" spans="2:8" x14ac:dyDescent="0.3">
      <c r="B1" s="4" t="s">
        <v>265</v>
      </c>
    </row>
    <row r="2" spans="2:8" x14ac:dyDescent="0.3">
      <c r="B2" t="s">
        <v>266</v>
      </c>
    </row>
    <row r="3" spans="2:8" x14ac:dyDescent="0.3">
      <c r="B3" t="s">
        <v>267</v>
      </c>
    </row>
    <row r="4" spans="2:8" x14ac:dyDescent="0.3">
      <c r="B4" t="s">
        <v>268</v>
      </c>
    </row>
    <row r="5" spans="2:8" x14ac:dyDescent="0.3">
      <c r="B5" t="s">
        <v>269</v>
      </c>
    </row>
    <row r="6" spans="2:8" x14ac:dyDescent="0.3">
      <c r="B6" s="4"/>
    </row>
    <row r="8" spans="2:8" x14ac:dyDescent="0.3">
      <c r="B8" s="44" t="s">
        <v>262</v>
      </c>
      <c r="C8" s="45"/>
      <c r="D8" s="45"/>
      <c r="E8" s="45"/>
      <c r="F8" s="45"/>
      <c r="G8" s="45"/>
      <c r="H8" s="46"/>
    </row>
    <row r="9" spans="2:8" x14ac:dyDescent="0.3">
      <c r="B9" s="34"/>
      <c r="H9" s="35"/>
    </row>
    <row r="10" spans="2:8" x14ac:dyDescent="0.3">
      <c r="B10" s="36" t="s">
        <v>162</v>
      </c>
      <c r="H10" s="35"/>
    </row>
    <row r="11" spans="2:8" x14ac:dyDescent="0.3">
      <c r="B11" s="34" t="s">
        <v>163</v>
      </c>
      <c r="C11" s="37">
        <v>3500</v>
      </c>
      <c r="H11" s="35"/>
    </row>
    <row r="12" spans="2:8" x14ac:dyDescent="0.3">
      <c r="B12" s="34" t="s">
        <v>188</v>
      </c>
      <c r="C12">
        <v>1.1339999999999999</v>
      </c>
      <c r="H12" s="35"/>
    </row>
    <row r="13" spans="2:8" x14ac:dyDescent="0.3">
      <c r="B13" s="34" t="s">
        <v>170</v>
      </c>
      <c r="C13">
        <v>40</v>
      </c>
      <c r="H13" s="35"/>
    </row>
    <row r="14" spans="2:8" x14ac:dyDescent="0.3">
      <c r="B14" s="34" t="s">
        <v>171</v>
      </c>
      <c r="C14" s="38">
        <f>C13*52/12</f>
        <v>173.33333333333334</v>
      </c>
      <c r="H14" s="35"/>
    </row>
    <row r="15" spans="2:8" x14ac:dyDescent="0.3">
      <c r="B15" s="34"/>
      <c r="H15" s="35"/>
    </row>
    <row r="16" spans="2:8" x14ac:dyDescent="0.3">
      <c r="B16" s="34" t="s">
        <v>164</v>
      </c>
      <c r="C16" s="37">
        <f>C11*C12</f>
        <v>3968.9999999999995</v>
      </c>
      <c r="H16" s="35"/>
    </row>
    <row r="17" spans="2:8" x14ac:dyDescent="0.3">
      <c r="B17" s="34" t="s">
        <v>165</v>
      </c>
      <c r="C17" s="37">
        <f>C16*12</f>
        <v>47627.999999999993</v>
      </c>
      <c r="H17" s="35"/>
    </row>
    <row r="18" spans="2:8" x14ac:dyDescent="0.3">
      <c r="B18" s="34" t="s">
        <v>20</v>
      </c>
      <c r="C18" s="37">
        <v>137800</v>
      </c>
      <c r="H18" s="35"/>
    </row>
    <row r="19" spans="2:8" x14ac:dyDescent="0.3">
      <c r="B19" s="34" t="s">
        <v>19</v>
      </c>
      <c r="C19" s="37">
        <v>18798</v>
      </c>
      <c r="H19" s="35"/>
    </row>
    <row r="20" spans="2:8" x14ac:dyDescent="0.3">
      <c r="B20" s="34" t="s">
        <v>166</v>
      </c>
      <c r="C20" s="37">
        <f>C17-C19</f>
        <v>28829.999999999993</v>
      </c>
      <c r="H20" s="35"/>
    </row>
    <row r="21" spans="2:8" x14ac:dyDescent="0.3">
      <c r="B21" s="34"/>
      <c r="H21" s="35"/>
    </row>
    <row r="22" spans="2:8" x14ac:dyDescent="0.3">
      <c r="B22" s="34" t="s">
        <v>167</v>
      </c>
      <c r="C22" s="12">
        <v>0.20599999999999999</v>
      </c>
      <c r="H22" s="35"/>
    </row>
    <row r="23" spans="2:8" x14ac:dyDescent="0.3">
      <c r="B23" s="34" t="s">
        <v>11</v>
      </c>
      <c r="C23" s="37">
        <f>C20/12</f>
        <v>2402.4999999999995</v>
      </c>
      <c r="H23" s="35"/>
    </row>
    <row r="24" spans="2:8" x14ac:dyDescent="0.3">
      <c r="B24" s="34" t="s">
        <v>189</v>
      </c>
      <c r="C24" s="37">
        <f>C23*C22</f>
        <v>494.91499999999991</v>
      </c>
      <c r="H24" s="35"/>
    </row>
    <row r="25" spans="2:8" x14ac:dyDescent="0.3">
      <c r="B25" s="34"/>
      <c r="H25" s="35"/>
    </row>
    <row r="26" spans="2:8" x14ac:dyDescent="0.3">
      <c r="B26" s="34"/>
      <c r="H26" s="35"/>
    </row>
    <row r="27" spans="2:8" x14ac:dyDescent="0.3">
      <c r="B27" s="36" t="s">
        <v>169</v>
      </c>
      <c r="H27" s="35"/>
    </row>
    <row r="28" spans="2:8" x14ac:dyDescent="0.3">
      <c r="B28" s="34" t="s">
        <v>190</v>
      </c>
      <c r="C28">
        <v>34.67</v>
      </c>
      <c r="H28" s="35"/>
    </row>
    <row r="29" spans="2:8" x14ac:dyDescent="0.3">
      <c r="B29" s="34" t="s">
        <v>191</v>
      </c>
      <c r="C29">
        <v>0</v>
      </c>
      <c r="H29" s="35"/>
    </row>
    <row r="30" spans="2:8" x14ac:dyDescent="0.3">
      <c r="B30" s="34" t="s">
        <v>158</v>
      </c>
      <c r="C30" s="39">
        <f>(C28+C29)/173.33</f>
        <v>0.20002307736687244</v>
      </c>
      <c r="H30" s="35"/>
    </row>
    <row r="31" spans="2:8" x14ac:dyDescent="0.3">
      <c r="B31" s="34"/>
      <c r="H31" s="35"/>
    </row>
    <row r="32" spans="2:8" x14ac:dyDescent="0.3">
      <c r="B32" s="34" t="s">
        <v>192</v>
      </c>
      <c r="C32" s="38">
        <f>C14-C28-C29</f>
        <v>138.66333333333336</v>
      </c>
      <c r="H32" s="35"/>
    </row>
    <row r="33" spans="2:8" x14ac:dyDescent="0.3">
      <c r="B33" s="34" t="s">
        <v>159</v>
      </c>
      <c r="C33" s="39">
        <f>1-C30</f>
        <v>0.79997692263312759</v>
      </c>
      <c r="H33" s="35"/>
    </row>
    <row r="34" spans="2:8" x14ac:dyDescent="0.3">
      <c r="B34" s="34" t="s">
        <v>197</v>
      </c>
      <c r="C34" s="33">
        <f>C33*C24</f>
        <v>395.92057866497424</v>
      </c>
      <c r="H34" s="35"/>
    </row>
    <row r="35" spans="2:8" x14ac:dyDescent="0.3">
      <c r="B35" s="34"/>
      <c r="H35" s="35"/>
    </row>
    <row r="36" spans="2:8" ht="28.8" x14ac:dyDescent="0.3">
      <c r="B36" s="34" t="s">
        <v>161</v>
      </c>
      <c r="C36" s="33">
        <f>C16</f>
        <v>3968.9999999999995</v>
      </c>
      <c r="D36" s="48" t="s">
        <v>193</v>
      </c>
      <c r="H36" s="35"/>
    </row>
    <row r="37" spans="2:8" ht="28.8" x14ac:dyDescent="0.3">
      <c r="B37" s="40" t="s">
        <v>172</v>
      </c>
      <c r="C37" s="47">
        <f>C32+C28+C29</f>
        <v>173.33333333333337</v>
      </c>
      <c r="D37" s="49" t="s">
        <v>194</v>
      </c>
      <c r="E37" s="42"/>
      <c r="F37" s="42"/>
      <c r="G37" s="42"/>
      <c r="H37" s="43"/>
    </row>
    <row r="39" spans="2:8" x14ac:dyDescent="0.3">
      <c r="B39" s="44" t="s">
        <v>263</v>
      </c>
      <c r="C39" s="45"/>
      <c r="D39" s="45"/>
      <c r="E39" s="45"/>
      <c r="F39" s="45"/>
      <c r="G39" s="45"/>
      <c r="H39" s="46"/>
    </row>
    <row r="40" spans="2:8" x14ac:dyDescent="0.3">
      <c r="B40" s="34"/>
      <c r="H40" s="35"/>
    </row>
    <row r="41" spans="2:8" x14ac:dyDescent="0.3">
      <c r="B41" s="36" t="s">
        <v>162</v>
      </c>
      <c r="H41" s="35"/>
    </row>
    <row r="42" spans="2:8" x14ac:dyDescent="0.3">
      <c r="B42" s="34" t="s">
        <v>163</v>
      </c>
      <c r="C42" s="37">
        <v>3500</v>
      </c>
      <c r="H42" s="35"/>
    </row>
    <row r="43" spans="2:8" x14ac:dyDescent="0.3">
      <c r="B43" s="34" t="s">
        <v>188</v>
      </c>
      <c r="C43">
        <v>1.1339999999999999</v>
      </c>
      <c r="H43" s="35"/>
    </row>
    <row r="44" spans="2:8" x14ac:dyDescent="0.3">
      <c r="B44" s="34" t="s">
        <v>170</v>
      </c>
      <c r="C44">
        <v>40</v>
      </c>
      <c r="H44" s="35"/>
    </row>
    <row r="45" spans="2:8" x14ac:dyDescent="0.3">
      <c r="B45" s="34" t="s">
        <v>171</v>
      </c>
      <c r="C45" s="38">
        <f>C44*52/12</f>
        <v>173.33333333333334</v>
      </c>
      <c r="H45" s="35"/>
    </row>
    <row r="46" spans="2:8" x14ac:dyDescent="0.3">
      <c r="B46" s="34"/>
      <c r="H46" s="35"/>
    </row>
    <row r="47" spans="2:8" x14ac:dyDescent="0.3">
      <c r="B47" s="34" t="s">
        <v>164</v>
      </c>
      <c r="C47" s="37">
        <f>C42*C43</f>
        <v>3968.9999999999995</v>
      </c>
      <c r="H47" s="35"/>
    </row>
    <row r="48" spans="2:8" x14ac:dyDescent="0.3">
      <c r="B48" s="34" t="s">
        <v>165</v>
      </c>
      <c r="C48" s="37">
        <f>C47*12</f>
        <v>47627.999999999993</v>
      </c>
      <c r="H48" s="35"/>
    </row>
    <row r="49" spans="2:8" x14ac:dyDescent="0.3">
      <c r="B49" s="34" t="s">
        <v>20</v>
      </c>
      <c r="C49" s="37">
        <v>137800</v>
      </c>
      <c r="H49" s="35"/>
    </row>
    <row r="50" spans="2:8" x14ac:dyDescent="0.3">
      <c r="B50" s="34" t="s">
        <v>19</v>
      </c>
      <c r="C50" s="37">
        <v>18798</v>
      </c>
      <c r="H50" s="35"/>
    </row>
    <row r="51" spans="2:8" x14ac:dyDescent="0.3">
      <c r="B51" s="34" t="s">
        <v>166</v>
      </c>
      <c r="C51" s="37">
        <f>C48-C50</f>
        <v>28829.999999999993</v>
      </c>
      <c r="H51" s="35"/>
    </row>
    <row r="52" spans="2:8" x14ac:dyDescent="0.3">
      <c r="B52" s="34"/>
      <c r="H52" s="35"/>
    </row>
    <row r="53" spans="2:8" x14ac:dyDescent="0.3">
      <c r="B53" s="34" t="s">
        <v>167</v>
      </c>
      <c r="C53" s="12">
        <v>0.20599999999999999</v>
      </c>
      <c r="H53" s="35"/>
    </row>
    <row r="54" spans="2:8" x14ac:dyDescent="0.3">
      <c r="B54" s="34" t="s">
        <v>11</v>
      </c>
      <c r="C54" s="37">
        <f>C51/12</f>
        <v>2402.4999999999995</v>
      </c>
      <c r="H54" s="35"/>
    </row>
    <row r="55" spans="2:8" x14ac:dyDescent="0.3">
      <c r="B55" s="34" t="s">
        <v>196</v>
      </c>
      <c r="C55" s="37">
        <f>C54*C53</f>
        <v>494.91499999999991</v>
      </c>
      <c r="H55" s="35"/>
    </row>
    <row r="56" spans="2:8" x14ac:dyDescent="0.3">
      <c r="B56" s="34"/>
      <c r="H56" s="35"/>
    </row>
    <row r="57" spans="2:8" x14ac:dyDescent="0.3">
      <c r="B57" s="34"/>
      <c r="H57" s="35"/>
    </row>
    <row r="58" spans="2:8" x14ac:dyDescent="0.3">
      <c r="B58" s="36" t="s">
        <v>169</v>
      </c>
      <c r="H58" s="35"/>
    </row>
    <row r="59" spans="2:8" x14ac:dyDescent="0.3">
      <c r="B59" s="34" t="s">
        <v>190</v>
      </c>
      <c r="C59">
        <v>0</v>
      </c>
      <c r="H59" s="35"/>
    </row>
    <row r="60" spans="2:8" x14ac:dyDescent="0.3">
      <c r="B60" s="34" t="s">
        <v>191</v>
      </c>
      <c r="C60">
        <v>34.67</v>
      </c>
      <c r="H60" s="35"/>
    </row>
    <row r="61" spans="2:8" x14ac:dyDescent="0.3">
      <c r="B61" s="34" t="s">
        <v>158</v>
      </c>
      <c r="C61" s="39">
        <f>(C59+C60)/173.33</f>
        <v>0.20002307736687244</v>
      </c>
      <c r="H61" s="35"/>
    </row>
    <row r="62" spans="2:8" x14ac:dyDescent="0.3">
      <c r="B62" s="34"/>
      <c r="H62" s="35"/>
    </row>
    <row r="63" spans="2:8" x14ac:dyDescent="0.3">
      <c r="B63" s="34" t="s">
        <v>160</v>
      </c>
      <c r="C63" s="38">
        <f>C45</f>
        <v>173.33333333333334</v>
      </c>
      <c r="H63" s="35"/>
    </row>
    <row r="64" spans="2:8" x14ac:dyDescent="0.3">
      <c r="B64" s="34" t="s">
        <v>159</v>
      </c>
      <c r="C64" s="39">
        <f>1</f>
        <v>1</v>
      </c>
      <c r="H64" s="35"/>
    </row>
    <row r="65" spans="2:15" x14ac:dyDescent="0.3">
      <c r="B65" s="34" t="s">
        <v>197</v>
      </c>
      <c r="C65" s="33">
        <f>C64*C55</f>
        <v>494.91499999999991</v>
      </c>
      <c r="H65" s="35"/>
    </row>
    <row r="66" spans="2:15" x14ac:dyDescent="0.3">
      <c r="B66" s="34"/>
      <c r="H66" s="35"/>
    </row>
    <row r="67" spans="2:15" ht="28.8" x14ac:dyDescent="0.3">
      <c r="B67" s="34" t="s">
        <v>161</v>
      </c>
      <c r="C67" s="33">
        <f>C47</f>
        <v>3968.9999999999995</v>
      </c>
      <c r="D67" s="48" t="s">
        <v>193</v>
      </c>
      <c r="H67" s="35"/>
    </row>
    <row r="68" spans="2:15" ht="28.8" x14ac:dyDescent="0.3">
      <c r="B68" s="40" t="s">
        <v>172</v>
      </c>
      <c r="C68" s="47">
        <f>C63</f>
        <v>173.33333333333334</v>
      </c>
      <c r="D68" s="49" t="s">
        <v>194</v>
      </c>
      <c r="E68" s="42"/>
      <c r="F68" s="42"/>
      <c r="G68" s="42"/>
      <c r="H68" s="43"/>
    </row>
    <row r="70" spans="2:15" x14ac:dyDescent="0.3">
      <c r="B70" s="44" t="s">
        <v>264</v>
      </c>
      <c r="C70" s="45"/>
      <c r="D70" s="45"/>
      <c r="E70" s="45"/>
      <c r="F70" s="45"/>
      <c r="G70" s="45"/>
      <c r="H70" s="46"/>
    </row>
    <row r="71" spans="2:15" x14ac:dyDescent="0.3">
      <c r="B71" s="34"/>
      <c r="H71" s="35"/>
    </row>
    <row r="72" spans="2:15" x14ac:dyDescent="0.3">
      <c r="B72" s="36" t="s">
        <v>162</v>
      </c>
      <c r="H72" s="35"/>
    </row>
    <row r="73" spans="2:15" x14ac:dyDescent="0.3">
      <c r="B73" s="34" t="s">
        <v>163</v>
      </c>
      <c r="C73" s="37">
        <v>3500</v>
      </c>
      <c r="H73" s="35"/>
    </row>
    <row r="74" spans="2:15" x14ac:dyDescent="0.3">
      <c r="B74" s="34" t="s">
        <v>188</v>
      </c>
      <c r="C74">
        <v>1.1339999999999999</v>
      </c>
      <c r="H74" s="35"/>
      <c r="O74" s="14"/>
    </row>
    <row r="75" spans="2:15" x14ac:dyDescent="0.3">
      <c r="B75" s="34" t="s">
        <v>170</v>
      </c>
      <c r="C75">
        <v>40</v>
      </c>
      <c r="H75" s="35"/>
    </row>
    <row r="76" spans="2:15" x14ac:dyDescent="0.3">
      <c r="B76" s="34" t="s">
        <v>171</v>
      </c>
      <c r="C76" s="38">
        <f>C75*52/12</f>
        <v>173.33333333333334</v>
      </c>
      <c r="H76" s="35"/>
    </row>
    <row r="77" spans="2:15" x14ac:dyDescent="0.3">
      <c r="B77" s="34" t="s">
        <v>209</v>
      </c>
      <c r="C77" s="38">
        <v>173.33</v>
      </c>
      <c r="H77" s="35"/>
    </row>
    <row r="78" spans="2:15" x14ac:dyDescent="0.3">
      <c r="B78" s="34"/>
      <c r="H78" s="35"/>
    </row>
    <row r="79" spans="2:15" x14ac:dyDescent="0.3">
      <c r="B79" s="34" t="s">
        <v>164</v>
      </c>
      <c r="C79" s="37">
        <f>C73*C74</f>
        <v>3968.9999999999995</v>
      </c>
      <c r="H79" s="35"/>
    </row>
    <row r="80" spans="2:15" x14ac:dyDescent="0.3">
      <c r="B80" s="34" t="s">
        <v>165</v>
      </c>
      <c r="C80" s="37">
        <f>C79*12</f>
        <v>47627.999999999993</v>
      </c>
      <c r="H80" s="35"/>
    </row>
    <row r="81" spans="2:8" x14ac:dyDescent="0.3">
      <c r="B81" s="34" t="s">
        <v>20</v>
      </c>
      <c r="C81" s="37">
        <v>137800</v>
      </c>
      <c r="H81" s="35"/>
    </row>
    <row r="82" spans="2:8" x14ac:dyDescent="0.3">
      <c r="B82" s="34" t="s">
        <v>19</v>
      </c>
      <c r="C82" s="37">
        <v>18798</v>
      </c>
      <c r="H82" s="35"/>
    </row>
    <row r="83" spans="2:8" x14ac:dyDescent="0.3">
      <c r="B83" s="34" t="s">
        <v>166</v>
      </c>
      <c r="C83" s="37">
        <f>C80-C82</f>
        <v>28829.999999999993</v>
      </c>
      <c r="H83" s="35"/>
    </row>
    <row r="84" spans="2:8" x14ac:dyDescent="0.3">
      <c r="B84" s="34"/>
      <c r="H84" s="35"/>
    </row>
    <row r="85" spans="2:8" x14ac:dyDescent="0.3">
      <c r="B85" s="34" t="s">
        <v>167</v>
      </c>
      <c r="C85" s="12">
        <v>0.20599999999999999</v>
      </c>
      <c r="H85" s="35"/>
    </row>
    <row r="86" spans="2:8" x14ac:dyDescent="0.3">
      <c r="B86" s="34" t="s">
        <v>11</v>
      </c>
      <c r="C86" s="37">
        <f>C83/12</f>
        <v>2402.4999999999995</v>
      </c>
      <c r="H86" s="35"/>
    </row>
    <row r="87" spans="2:8" x14ac:dyDescent="0.3">
      <c r="B87" s="34" t="s">
        <v>196</v>
      </c>
      <c r="C87" s="37">
        <f>C86*C85</f>
        <v>494.91499999999991</v>
      </c>
      <c r="H87" s="35"/>
    </row>
    <row r="88" spans="2:8" x14ac:dyDescent="0.3">
      <c r="B88" s="34"/>
      <c r="H88" s="35"/>
    </row>
    <row r="89" spans="2:8" x14ac:dyDescent="0.3">
      <c r="B89" s="34"/>
      <c r="H89" s="35"/>
    </row>
    <row r="90" spans="2:8" x14ac:dyDescent="0.3">
      <c r="B90" s="34" t="s">
        <v>169</v>
      </c>
      <c r="H90" s="35"/>
    </row>
    <row r="91" spans="2:8" x14ac:dyDescent="0.3">
      <c r="B91" s="34" t="s">
        <v>195</v>
      </c>
      <c r="C91">
        <v>86.67</v>
      </c>
      <c r="H91" s="35"/>
    </row>
    <row r="92" spans="2:8" x14ac:dyDescent="0.3">
      <c r="B92" s="34" t="s">
        <v>191</v>
      </c>
      <c r="C92">
        <v>0</v>
      </c>
      <c r="H92" s="35"/>
    </row>
    <row r="93" spans="2:8" x14ac:dyDescent="0.3">
      <c r="B93" s="34" t="s">
        <v>158</v>
      </c>
      <c r="C93" s="39">
        <f>(C91+C92)/173.33</f>
        <v>0.50002884670859049</v>
      </c>
      <c r="H93" s="35"/>
    </row>
    <row r="94" spans="2:8" x14ac:dyDescent="0.3">
      <c r="B94" s="34"/>
      <c r="H94" s="35"/>
    </row>
    <row r="95" spans="2:8" x14ac:dyDescent="0.3">
      <c r="B95" s="34" t="s">
        <v>192</v>
      </c>
      <c r="C95" s="38">
        <f>C77-C91-C92</f>
        <v>86.660000000000011</v>
      </c>
      <c r="H95" s="35"/>
    </row>
    <row r="96" spans="2:8" x14ac:dyDescent="0.3">
      <c r="B96" s="34" t="s">
        <v>159</v>
      </c>
      <c r="C96" s="39">
        <f>1-C93</f>
        <v>0.49997115329140951</v>
      </c>
      <c r="H96" s="35"/>
    </row>
    <row r="97" spans="2:8" x14ac:dyDescent="0.3">
      <c r="B97" s="34" t="s">
        <v>197</v>
      </c>
      <c r="C97" s="33">
        <f>C96*C87</f>
        <v>247.44322333121789</v>
      </c>
      <c r="H97" s="35"/>
    </row>
    <row r="98" spans="2:8" x14ac:dyDescent="0.3">
      <c r="B98" s="34"/>
      <c r="H98" s="35"/>
    </row>
    <row r="99" spans="2:8" x14ac:dyDescent="0.3">
      <c r="B99" s="34" t="s">
        <v>161</v>
      </c>
      <c r="C99" s="33">
        <f>C79*C96</f>
        <v>1984.385507413604</v>
      </c>
      <c r="D99" s="14" t="s">
        <v>198</v>
      </c>
      <c r="H99" s="35"/>
    </row>
    <row r="100" spans="2:8" x14ac:dyDescent="0.3">
      <c r="B100" s="40" t="s">
        <v>172</v>
      </c>
      <c r="C100" s="47">
        <f>C95</f>
        <v>86.660000000000011</v>
      </c>
      <c r="D100" s="41" t="s">
        <v>199</v>
      </c>
      <c r="E100" s="42"/>
      <c r="F100" s="42"/>
      <c r="G100" s="42"/>
      <c r="H100" s="43"/>
    </row>
    <row r="101" spans="2:8" x14ac:dyDescent="0.3">
      <c r="D101" s="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E6150-77F1-4EC2-9C2F-F347967145F3}">
  <sheetPr>
    <tabColor theme="5" tint="0.79998168889431442"/>
  </sheetPr>
  <dimension ref="A1:P52"/>
  <sheetViews>
    <sheetView topLeftCell="A3" workbookViewId="0">
      <selection activeCell="D27" sqref="D27"/>
    </sheetView>
  </sheetViews>
  <sheetFormatPr defaultColWidth="9.33203125" defaultRowHeight="13.8" x14ac:dyDescent="0.3"/>
  <cols>
    <col min="1" max="1" width="4.5546875" style="104" customWidth="1"/>
    <col min="2" max="2" width="31.5546875" style="104" customWidth="1"/>
    <col min="3" max="3" width="26.44140625" style="104" customWidth="1"/>
    <col min="4" max="4" width="14.44140625" style="104" customWidth="1"/>
    <col min="5" max="5" width="23" style="104" customWidth="1"/>
    <col min="6" max="6" width="16.88671875" style="104" customWidth="1"/>
    <col min="7" max="7" width="12.5546875" style="104" customWidth="1"/>
    <col min="8" max="8" width="13" style="104" customWidth="1"/>
    <col min="9" max="9" width="16.5546875" style="104" customWidth="1"/>
    <col min="10" max="15" width="12.5546875" style="104" customWidth="1"/>
    <col min="16" max="16" width="11.6640625" style="104" bestFit="1" customWidth="1"/>
    <col min="17" max="16384" width="9.33203125" style="104"/>
  </cols>
  <sheetData>
    <row r="1" spans="1:16" ht="24.6" x14ac:dyDescent="0.55000000000000004">
      <c r="A1" s="22" t="s">
        <v>40</v>
      </c>
      <c r="B1" s="103" t="s">
        <v>211</v>
      </c>
      <c r="C1" s="22"/>
      <c r="D1" s="22"/>
      <c r="E1" s="22"/>
      <c r="F1" s="22"/>
      <c r="G1" s="22"/>
      <c r="H1" s="22"/>
      <c r="I1" s="22"/>
      <c r="J1" s="22"/>
      <c r="K1" s="22"/>
      <c r="L1" s="22"/>
      <c r="M1" s="22"/>
      <c r="N1" s="22"/>
      <c r="O1" s="22"/>
      <c r="P1" s="22"/>
    </row>
    <row r="2" spans="1:16" ht="21" x14ac:dyDescent="0.4">
      <c r="A2" s="22"/>
      <c r="B2" s="105" t="s">
        <v>210</v>
      </c>
      <c r="C2" s="22"/>
      <c r="D2" s="22"/>
      <c r="E2" s="22"/>
      <c r="F2" s="22"/>
      <c r="G2" s="22"/>
      <c r="H2" s="22"/>
      <c r="I2" s="22"/>
      <c r="J2" s="22"/>
      <c r="K2" s="22"/>
      <c r="L2" s="22"/>
      <c r="M2" s="22"/>
      <c r="N2" s="22"/>
      <c r="O2" s="22"/>
      <c r="P2" s="22"/>
    </row>
    <row r="3" spans="1:16" x14ac:dyDescent="0.3">
      <c r="A3" s="22"/>
      <c r="B3" s="22"/>
      <c r="C3" s="160" t="s">
        <v>41</v>
      </c>
      <c r="D3" s="160"/>
      <c r="E3" s="107"/>
      <c r="F3" s="164" t="s">
        <v>42</v>
      </c>
      <c r="G3" s="164"/>
      <c r="H3" s="164"/>
      <c r="I3" s="164"/>
      <c r="J3" s="164"/>
      <c r="K3" s="164"/>
      <c r="L3" s="164"/>
      <c r="M3" s="164"/>
      <c r="O3" s="22"/>
      <c r="P3" s="22"/>
    </row>
    <row r="4" spans="1:16" ht="12.75" customHeight="1" x14ac:dyDescent="0.3">
      <c r="A4" s="22"/>
      <c r="B4" s="22"/>
      <c r="C4" s="108" t="s">
        <v>43</v>
      </c>
      <c r="D4" s="26" t="s">
        <v>168</v>
      </c>
      <c r="E4" s="109" t="s">
        <v>45</v>
      </c>
      <c r="F4" s="165" t="s">
        <v>174</v>
      </c>
      <c r="G4" s="165"/>
      <c r="H4" s="165"/>
      <c r="I4" s="161" t="str">
        <f>VLOOKUP($F$4,'4. Parameters'!$B:$C,2,0)</f>
        <v>Verlof voorbeeld niet K&amp;FV</v>
      </c>
      <c r="J4" s="162"/>
      <c r="K4" s="162"/>
      <c r="L4" s="162"/>
      <c r="M4" s="163"/>
      <c r="O4" s="22"/>
      <c r="P4" s="22"/>
    </row>
    <row r="5" spans="1:16" ht="12.75" customHeight="1" x14ac:dyDescent="0.3">
      <c r="A5" s="22"/>
      <c r="B5" s="22"/>
      <c r="C5" s="108" t="s">
        <v>4</v>
      </c>
      <c r="D5" s="27"/>
      <c r="E5" s="109"/>
      <c r="F5" s="110" t="s">
        <v>13</v>
      </c>
      <c r="G5" s="154" t="str">
        <f>IF($G$6=2025,VLOOKUP($F$4,'4. Parameters'!$B:$P,8,0),VLOOKUP($F$4,'4. Parameters'!$B:$P,15,0))</f>
        <v>VERLOF</v>
      </c>
      <c r="H5" s="155"/>
      <c r="I5" s="155"/>
      <c r="J5" s="155"/>
      <c r="K5" s="155"/>
      <c r="L5" s="155"/>
      <c r="M5" s="156"/>
      <c r="O5" s="22"/>
      <c r="P5" s="22"/>
    </row>
    <row r="6" spans="1:16" x14ac:dyDescent="0.3">
      <c r="A6" s="22"/>
      <c r="B6" s="22"/>
      <c r="C6" s="108" t="s">
        <v>46</v>
      </c>
      <c r="D6" s="27"/>
      <c r="E6" s="109" t="s">
        <v>29</v>
      </c>
      <c r="F6" s="110" t="s">
        <v>47</v>
      </c>
      <c r="G6" s="28">
        <v>2025</v>
      </c>
      <c r="I6" s="108" t="s">
        <v>53</v>
      </c>
      <c r="J6" s="20">
        <f>IF($G$6=2024,VLOOKUP($F4,'4. Parameters'!$B:$I,5,0),VLOOKUP($F4,'4. Parameters'!$B:$P,12,0))</f>
        <v>0.20599999999999999</v>
      </c>
      <c r="K6" s="111"/>
      <c r="L6" s="111"/>
      <c r="M6" s="111"/>
      <c r="O6" s="22"/>
      <c r="P6" s="22"/>
    </row>
    <row r="7" spans="1:16" x14ac:dyDescent="0.3">
      <c r="A7" s="22"/>
      <c r="B7" s="22"/>
      <c r="C7" s="108" t="s">
        <v>48</v>
      </c>
      <c r="D7" s="26">
        <v>29221</v>
      </c>
      <c r="E7" s="109">
        <v>18475</v>
      </c>
      <c r="F7" s="108" t="s">
        <v>19</v>
      </c>
      <c r="G7" s="50">
        <f>IF($G$6=2025,VLOOKUP($F$4,'4. Parameters'!$B:$P,10,0),VLOOKUP($F$4,'4. Parameters'!$B:$P,3,0))</f>
        <v>18798</v>
      </c>
      <c r="H7" s="111"/>
      <c r="I7" s="108" t="s">
        <v>54</v>
      </c>
      <c r="J7" s="20">
        <f>IF($G$6=2024,VLOOKUP($F4,'4. Parameters'!B:H,6,0),VLOOKUP($F4,'4. Parameters'!B:O,13,0))</f>
        <v>0.20599999999999999</v>
      </c>
      <c r="K7" s="111"/>
      <c r="L7" s="111"/>
      <c r="M7" s="111"/>
      <c r="O7" s="22"/>
      <c r="P7" s="22"/>
    </row>
    <row r="8" spans="1:16" x14ac:dyDescent="0.3">
      <c r="A8" s="22"/>
      <c r="B8" s="22"/>
      <c r="C8" s="108" t="s">
        <v>50</v>
      </c>
      <c r="D8" s="112" t="str">
        <f>_xlfn.CONCAT("1-",MONTH(D7),"-",YEAR(D7)+68)</f>
        <v>1-1-2048</v>
      </c>
      <c r="E8" s="109">
        <v>75864</v>
      </c>
      <c r="F8" s="108" t="s">
        <v>49</v>
      </c>
      <c r="G8" s="113">
        <f>IF($G$6=2025,VLOOKUP($F$4,'4. Parameters'!$B:$P,11,0),VLOOKUP($F$4,'4. Parameters'!$B:$P,4,0))</f>
        <v>137800</v>
      </c>
      <c r="H8" s="111"/>
      <c r="I8" s="108" t="s">
        <v>56</v>
      </c>
      <c r="J8" s="20">
        <f>IF($G$6=2024,VLOOKUP($F4,'4. Parameters'!B:H,7,0),VLOOKUP($F4,'4. Parameters'!B:O,14,0))</f>
        <v>0</v>
      </c>
      <c r="K8" s="111"/>
      <c r="L8" s="111"/>
      <c r="M8" s="111"/>
      <c r="O8" s="22"/>
      <c r="P8" s="22"/>
    </row>
    <row r="9" spans="1:16" x14ac:dyDescent="0.3">
      <c r="A9" s="22"/>
      <c r="B9" s="22"/>
      <c r="C9" s="108" t="s">
        <v>52</v>
      </c>
      <c r="D9" s="31" t="s">
        <v>29</v>
      </c>
      <c r="E9" s="109" t="s">
        <v>51</v>
      </c>
      <c r="I9" s="108" t="s">
        <v>176</v>
      </c>
      <c r="J9" s="30">
        <v>0.08</v>
      </c>
      <c r="K9" s="111"/>
      <c r="L9" s="111"/>
      <c r="M9" s="111"/>
      <c r="O9" s="22"/>
      <c r="P9" s="22"/>
    </row>
    <row r="10" spans="1:16" x14ac:dyDescent="0.3">
      <c r="A10" s="22"/>
      <c r="B10" s="22"/>
      <c r="E10" s="109"/>
      <c r="H10" s="111"/>
      <c r="I10" s="108" t="s">
        <v>175</v>
      </c>
      <c r="J10" s="30">
        <v>5.3999999999999999E-2</v>
      </c>
      <c r="K10" s="111"/>
      <c r="L10" s="111"/>
      <c r="M10" s="111"/>
      <c r="O10" s="22"/>
      <c r="P10" s="22"/>
    </row>
    <row r="11" spans="1:16" x14ac:dyDescent="0.3">
      <c r="A11" s="22"/>
      <c r="B11" s="22"/>
      <c r="E11" s="109"/>
      <c r="H11" s="111"/>
      <c r="I11" s="111"/>
      <c r="J11" s="111"/>
      <c r="K11" s="111"/>
      <c r="L11" s="111"/>
      <c r="M11" s="111"/>
      <c r="O11" s="22"/>
    </row>
    <row r="12" spans="1:16" x14ac:dyDescent="0.3">
      <c r="A12" s="22"/>
      <c r="B12" s="22"/>
      <c r="C12" s="160" t="s">
        <v>55</v>
      </c>
      <c r="D12" s="160"/>
      <c r="E12" s="109"/>
      <c r="J12" s="111"/>
      <c r="K12" s="111"/>
      <c r="L12" s="111"/>
      <c r="M12" s="111"/>
      <c r="O12" s="22"/>
    </row>
    <row r="13" spans="1:16" x14ac:dyDescent="0.3">
      <c r="A13" s="22"/>
      <c r="B13" s="22"/>
      <c r="C13" s="108" t="s">
        <v>173</v>
      </c>
      <c r="D13" s="29">
        <v>10000</v>
      </c>
      <c r="E13" s="109"/>
      <c r="J13" s="111"/>
      <c r="K13" s="111"/>
      <c r="L13" s="111"/>
      <c r="M13" s="111"/>
      <c r="O13" s="22"/>
    </row>
    <row r="14" spans="1:16" ht="13.5" customHeight="1" x14ac:dyDescent="0.3">
      <c r="A14" s="22"/>
      <c r="B14" s="22"/>
      <c r="C14" s="108" t="s">
        <v>177</v>
      </c>
      <c r="D14" s="114">
        <f>D13*(100%+J9+J10)</f>
        <v>11340.000000000002</v>
      </c>
      <c r="E14" s="109"/>
      <c r="J14" s="111"/>
      <c r="K14" s="111"/>
      <c r="L14" s="111"/>
      <c r="M14" s="111"/>
      <c r="O14" s="22"/>
    </row>
    <row r="15" spans="1:16" ht="13.5" customHeight="1" x14ac:dyDescent="0.3">
      <c r="A15" s="22"/>
      <c r="B15" s="22"/>
      <c r="C15" s="108" t="s">
        <v>178</v>
      </c>
      <c r="D15" s="114">
        <f>MIN(D14*12,G8)</f>
        <v>136080.00000000003</v>
      </c>
      <c r="E15" s="22" t="str">
        <f>IF((D14*12)&gt;G8,"Max loon van toepassing"," ")</f>
        <v xml:space="preserve"> </v>
      </c>
      <c r="J15" s="111"/>
      <c r="K15" s="111"/>
      <c r="L15" s="111"/>
      <c r="M15" s="111"/>
      <c r="O15" s="22"/>
    </row>
    <row r="16" spans="1:16" ht="13.5" customHeight="1" x14ac:dyDescent="0.3">
      <c r="A16" s="22"/>
      <c r="B16" s="22"/>
      <c r="C16" s="108" t="s">
        <v>170</v>
      </c>
      <c r="D16" s="28">
        <v>40</v>
      </c>
      <c r="E16" s="109"/>
      <c r="J16" s="111"/>
      <c r="K16" s="111"/>
      <c r="L16" s="111"/>
      <c r="M16" s="111"/>
      <c r="O16" s="22"/>
    </row>
    <row r="17" spans="1:16" ht="13.5" customHeight="1" x14ac:dyDescent="0.3">
      <c r="A17" s="22"/>
      <c r="B17" s="22"/>
      <c r="C17" s="108" t="s">
        <v>206</v>
      </c>
      <c r="D17" s="115">
        <f>D16*52/12</f>
        <v>173.33333333333334</v>
      </c>
      <c r="E17" s="109"/>
      <c r="J17" s="111"/>
      <c r="K17" s="111"/>
      <c r="L17" s="111"/>
      <c r="M17" s="111"/>
      <c r="O17" s="22"/>
    </row>
    <row r="18" spans="1:16" ht="13.5" customHeight="1" x14ac:dyDescent="0.3">
      <c r="A18" s="22"/>
      <c r="B18" s="22"/>
      <c r="C18" s="108" t="s">
        <v>179</v>
      </c>
      <c r="D18" s="28">
        <v>173.33</v>
      </c>
      <c r="E18" s="109"/>
      <c r="J18" s="111"/>
      <c r="K18" s="111"/>
      <c r="L18" s="111"/>
      <c r="M18" s="111"/>
      <c r="O18" s="22"/>
    </row>
    <row r="19" spans="1:16" ht="13.5" customHeight="1" x14ac:dyDescent="0.3">
      <c r="A19" s="22"/>
      <c r="B19" s="22"/>
      <c r="C19" s="108" t="s">
        <v>58</v>
      </c>
      <c r="D19" s="20">
        <f>D18/D17</f>
        <v>0.99998076923076928</v>
      </c>
      <c r="E19" s="109"/>
      <c r="J19" s="111"/>
      <c r="K19" s="111"/>
      <c r="L19" s="111"/>
      <c r="M19" s="111"/>
      <c r="O19" s="22"/>
    </row>
    <row r="20" spans="1:16" ht="13.5" customHeight="1" x14ac:dyDescent="0.3">
      <c r="A20" s="22"/>
      <c r="B20" s="22"/>
      <c r="C20" s="22"/>
      <c r="D20" s="23"/>
      <c r="E20" s="109"/>
      <c r="F20" s="22"/>
      <c r="G20" s="23"/>
      <c r="H20" s="111"/>
      <c r="I20" s="111"/>
      <c r="J20" s="111"/>
      <c r="K20" s="111"/>
      <c r="L20" s="111"/>
      <c r="M20" s="111"/>
      <c r="O20" s="22"/>
    </row>
    <row r="21" spans="1:16" ht="13.5" customHeight="1" x14ac:dyDescent="0.3">
      <c r="A21" s="22"/>
      <c r="B21" s="22"/>
      <c r="C21" s="116" t="s">
        <v>174</v>
      </c>
      <c r="D21" s="117"/>
      <c r="E21" s="117" t="s">
        <v>182</v>
      </c>
      <c r="F21" s="111"/>
      <c r="G21" s="23"/>
      <c r="H21" s="111"/>
      <c r="I21" s="111"/>
      <c r="J21" s="111"/>
      <c r="K21" s="111"/>
      <c r="L21" s="111"/>
      <c r="M21" s="111"/>
      <c r="O21" s="22"/>
    </row>
    <row r="22" spans="1:16" ht="13.5" customHeight="1" x14ac:dyDescent="0.3">
      <c r="A22" s="22"/>
      <c r="B22" s="22"/>
      <c r="C22" s="108" t="s">
        <v>181</v>
      </c>
      <c r="D22" s="29" t="s">
        <v>139</v>
      </c>
      <c r="E22" s="118" t="str">
        <f>VLOOKUP(D22,Verlofsoorten!$A:$C,2,0)</f>
        <v>Levensloopverlof</v>
      </c>
      <c r="F22" s="111"/>
      <c r="G22" s="23"/>
      <c r="H22" s="111"/>
      <c r="I22" s="111"/>
      <c r="J22" s="111"/>
      <c r="K22" s="111"/>
      <c r="L22" s="111"/>
      <c r="M22" s="111"/>
      <c r="O22" s="22"/>
    </row>
    <row r="23" spans="1:16" ht="13.5" customHeight="1" x14ac:dyDescent="0.3">
      <c r="A23" s="22"/>
      <c r="B23" s="22"/>
      <c r="C23" s="108" t="s">
        <v>180</v>
      </c>
      <c r="D23" s="28">
        <v>0</v>
      </c>
      <c r="E23" s="111"/>
      <c r="F23" s="111"/>
      <c r="G23" s="23"/>
      <c r="H23" s="111"/>
      <c r="I23" s="111"/>
      <c r="J23" s="111"/>
      <c r="K23" s="111"/>
      <c r="L23" s="111"/>
      <c r="M23" s="111"/>
      <c r="O23" s="22"/>
    </row>
    <row r="24" spans="1:16" ht="13.5" customHeight="1" x14ac:dyDescent="0.3">
      <c r="A24" s="22"/>
      <c r="B24" s="22"/>
      <c r="C24" s="108" t="s">
        <v>185</v>
      </c>
      <c r="D24" s="108">
        <f>D18-D23</f>
        <v>173.33</v>
      </c>
      <c r="E24" s="111"/>
      <c r="F24" s="111"/>
      <c r="G24" s="23"/>
      <c r="H24" s="111"/>
      <c r="I24" s="111"/>
      <c r="J24" s="111"/>
      <c r="K24" s="111"/>
      <c r="L24" s="111"/>
      <c r="M24" s="111"/>
      <c r="O24" s="22"/>
    </row>
    <row r="25" spans="1:16" ht="14.4" thickBot="1" x14ac:dyDescent="0.35">
      <c r="A25" s="22"/>
      <c r="B25" s="22"/>
      <c r="C25" s="22"/>
      <c r="E25" s="109"/>
      <c r="F25" s="22"/>
      <c r="G25" s="24"/>
      <c r="H25" s="23"/>
      <c r="I25" s="111"/>
      <c r="J25" s="111"/>
      <c r="K25" s="111"/>
      <c r="L25" s="111"/>
      <c r="M25" s="111"/>
      <c r="O25" s="22"/>
    </row>
    <row r="26" spans="1:16" s="119" customFormat="1" x14ac:dyDescent="0.3">
      <c r="B26" s="120" t="s">
        <v>59</v>
      </c>
      <c r="C26" s="121"/>
      <c r="D26" s="122" t="s">
        <v>205</v>
      </c>
      <c r="E26" s="23"/>
      <c r="F26" s="23"/>
      <c r="G26" s="23"/>
      <c r="H26" s="23"/>
      <c r="I26" s="23"/>
      <c r="J26" s="23"/>
      <c r="K26" s="23"/>
      <c r="L26" s="23"/>
      <c r="M26" s="23"/>
      <c r="N26" s="23"/>
      <c r="O26" s="23"/>
      <c r="P26" s="104"/>
    </row>
    <row r="27" spans="1:16" x14ac:dyDescent="0.3">
      <c r="B27" s="123" t="s">
        <v>57</v>
      </c>
      <c r="C27" s="124"/>
      <c r="D27" s="125">
        <f>MIN(D15,G8)</f>
        <v>136080.00000000003</v>
      </c>
      <c r="E27" s="23"/>
      <c r="F27" s="23"/>
      <c r="G27" s="23"/>
      <c r="H27" s="23"/>
      <c r="I27" s="23"/>
      <c r="J27" s="23"/>
      <c r="K27" s="23"/>
      <c r="L27" s="23"/>
      <c r="M27" s="23"/>
      <c r="N27" s="23"/>
      <c r="O27" s="23"/>
    </row>
    <row r="28" spans="1:16" x14ac:dyDescent="0.3">
      <c r="B28" s="123" t="s">
        <v>11</v>
      </c>
      <c r="C28" s="124" t="s">
        <v>72</v>
      </c>
      <c r="D28" s="126">
        <f>IF((D27-$G$7)&lt;0,0,(D27-$G$7))/12*$D$19</f>
        <v>9773.3120480769248</v>
      </c>
      <c r="E28" s="23"/>
      <c r="F28" s="23"/>
      <c r="G28" s="23"/>
      <c r="H28" s="23"/>
      <c r="I28" s="23"/>
      <c r="J28" s="23"/>
      <c r="K28" s="23"/>
      <c r="L28" s="23"/>
      <c r="M28" s="23"/>
      <c r="N28" s="23"/>
      <c r="O28" s="23"/>
      <c r="P28" s="127"/>
    </row>
    <row r="29" spans="1:16" x14ac:dyDescent="0.3">
      <c r="B29" s="123" t="s">
        <v>73</v>
      </c>
      <c r="C29" s="124" t="s">
        <v>72</v>
      </c>
      <c r="D29" s="126">
        <f>D28*$J$7</f>
        <v>2013.3022819038465</v>
      </c>
      <c r="E29" s="23"/>
      <c r="F29" s="23"/>
      <c r="G29" s="23"/>
      <c r="H29" s="23"/>
      <c r="I29" s="23"/>
      <c r="J29" s="23"/>
      <c r="K29" s="23"/>
      <c r="L29" s="23"/>
      <c r="M29" s="23"/>
      <c r="N29" s="23"/>
      <c r="O29" s="23"/>
      <c r="P29" s="127"/>
    </row>
    <row r="30" spans="1:16" x14ac:dyDescent="0.3">
      <c r="B30" s="123"/>
      <c r="C30" s="124"/>
      <c r="D30" s="126"/>
      <c r="E30" s="23"/>
      <c r="F30" s="23"/>
      <c r="G30" s="23"/>
      <c r="H30" s="23"/>
      <c r="I30" s="23"/>
      <c r="J30" s="23"/>
      <c r="K30" s="23"/>
      <c r="L30" s="23"/>
      <c r="M30" s="23"/>
      <c r="N30" s="23"/>
      <c r="O30" s="23"/>
    </row>
    <row r="31" spans="1:16" x14ac:dyDescent="0.3">
      <c r="B31" s="123" t="s">
        <v>183</v>
      </c>
      <c r="C31" s="124" t="str">
        <f>IF(OR(D22="OSP",D22="BOV"),"Fonds betaald premie voor:","Geen premie")</f>
        <v>Geen premie</v>
      </c>
      <c r="D31" s="128">
        <f>IF(C31="Geen premie",0,D23/D18)</f>
        <v>0</v>
      </c>
      <c r="E31" s="23"/>
      <c r="F31" s="23"/>
      <c r="G31" s="23"/>
      <c r="H31" s="23"/>
      <c r="I31" s="23"/>
      <c r="J31" s="23"/>
      <c r="K31" s="23"/>
      <c r="L31" s="23"/>
      <c r="M31" s="23"/>
      <c r="N31" s="23"/>
      <c r="O31" s="23"/>
    </row>
    <row r="32" spans="1:16" x14ac:dyDescent="0.3">
      <c r="B32" s="123"/>
      <c r="C32" s="124"/>
      <c r="D32" s="128"/>
      <c r="E32" s="23"/>
      <c r="F32" s="23"/>
      <c r="G32" s="23"/>
      <c r="H32" s="23"/>
      <c r="I32" s="23"/>
      <c r="J32" s="23"/>
      <c r="K32" s="23"/>
      <c r="L32" s="23"/>
      <c r="M32" s="23"/>
      <c r="N32" s="23"/>
      <c r="O32" s="23"/>
    </row>
    <row r="33" spans="2:16" x14ac:dyDescent="0.3">
      <c r="B33" s="123"/>
      <c r="C33" s="124"/>
      <c r="D33" s="126"/>
      <c r="E33" s="23"/>
      <c r="F33" s="23"/>
      <c r="G33" s="23"/>
      <c r="H33" s="23"/>
      <c r="I33" s="23"/>
      <c r="J33" s="23"/>
      <c r="K33" s="23"/>
      <c r="L33" s="23"/>
      <c r="M33" s="23"/>
      <c r="N33" s="23"/>
      <c r="O33" s="23"/>
    </row>
    <row r="34" spans="2:16" x14ac:dyDescent="0.3">
      <c r="B34" s="123" t="s">
        <v>184</v>
      </c>
      <c r="C34" s="124"/>
      <c r="D34" s="126">
        <f>IF(D31&gt;0,D29*(1-D31),D29*(D24/D18))</f>
        <v>2013.3022819038465</v>
      </c>
      <c r="E34" s="23"/>
      <c r="F34" s="23"/>
      <c r="G34" s="23"/>
      <c r="H34" s="23"/>
      <c r="I34" s="23"/>
      <c r="J34" s="23"/>
      <c r="K34" s="23"/>
      <c r="L34" s="23"/>
      <c r="M34" s="23"/>
      <c r="N34" s="23"/>
      <c r="O34" s="23"/>
    </row>
    <row r="35" spans="2:16" x14ac:dyDescent="0.3">
      <c r="B35" s="123"/>
      <c r="C35" s="124"/>
      <c r="D35" s="126"/>
      <c r="E35" s="23"/>
      <c r="F35" s="23"/>
      <c r="G35" s="23"/>
      <c r="H35" s="23"/>
      <c r="I35" s="23"/>
      <c r="J35" s="23"/>
      <c r="K35" s="23"/>
      <c r="L35" s="23"/>
      <c r="M35" s="23"/>
      <c r="N35" s="23"/>
      <c r="O35" s="23"/>
    </row>
    <row r="36" spans="2:16" x14ac:dyDescent="0.3">
      <c r="B36" s="129" t="s">
        <v>186</v>
      </c>
      <c r="C36" s="124"/>
      <c r="D36" s="126"/>
      <c r="E36" s="23"/>
      <c r="F36" s="23"/>
      <c r="G36" s="23"/>
      <c r="H36" s="23"/>
      <c r="I36" s="23"/>
      <c r="J36" s="23"/>
      <c r="K36" s="23"/>
      <c r="L36" s="23"/>
      <c r="M36" s="23"/>
      <c r="N36" s="23"/>
      <c r="O36" s="23"/>
    </row>
    <row r="37" spans="2:16" x14ac:dyDescent="0.3">
      <c r="B37" s="123" t="s">
        <v>157</v>
      </c>
      <c r="C37" s="124"/>
      <c r="D37" s="130">
        <f>IF(C31="Geen premie",(D18-D23)/D18*D14,D14)</f>
        <v>11340.000000000002</v>
      </c>
      <c r="E37" s="23"/>
      <c r="F37" s="23"/>
      <c r="G37" s="23"/>
      <c r="H37" s="23"/>
      <c r="I37" s="23"/>
      <c r="J37" s="23"/>
      <c r="K37" s="23"/>
      <c r="L37" s="23"/>
      <c r="M37" s="23"/>
      <c r="N37" s="23"/>
      <c r="O37" s="23"/>
    </row>
    <row r="38" spans="2:16" x14ac:dyDescent="0.3">
      <c r="B38" s="123" t="s">
        <v>187</v>
      </c>
      <c r="C38" s="124"/>
      <c r="D38" s="131">
        <f>IF(D31&gt;0,D24+D23,D24)</f>
        <v>173.33</v>
      </c>
      <c r="E38" s="23"/>
      <c r="F38" s="23"/>
      <c r="G38" s="23"/>
      <c r="H38" s="23"/>
      <c r="I38" s="23"/>
      <c r="J38" s="23"/>
      <c r="K38" s="23"/>
      <c r="L38" s="23"/>
      <c r="M38" s="23"/>
      <c r="N38" s="23"/>
      <c r="O38" s="23"/>
    </row>
    <row r="39" spans="2:16" x14ac:dyDescent="0.3">
      <c r="B39" s="132" t="s">
        <v>207</v>
      </c>
      <c r="C39" s="133"/>
      <c r="D39" s="134">
        <f>IF(D31&gt;0,(1-D31)*D29,D29*(D24/D18))</f>
        <v>2013.3022819038465</v>
      </c>
      <c r="E39" s="23"/>
      <c r="F39" s="23"/>
      <c r="G39" s="23"/>
      <c r="H39" s="23"/>
      <c r="I39" s="23"/>
      <c r="J39" s="23"/>
      <c r="K39" s="23"/>
      <c r="L39" s="23"/>
      <c r="M39" s="23"/>
      <c r="N39" s="23"/>
      <c r="O39" s="23"/>
    </row>
    <row r="40" spans="2:16" x14ac:dyDescent="0.3">
      <c r="B40" s="132" t="s">
        <v>208</v>
      </c>
      <c r="C40" s="133"/>
      <c r="D40" s="134">
        <f>IF(D31&gt;0,D29-D39,0)</f>
        <v>0</v>
      </c>
      <c r="E40" s="23"/>
      <c r="F40" s="23"/>
      <c r="G40" s="23"/>
      <c r="H40" s="23"/>
      <c r="I40" s="23"/>
      <c r="J40" s="23"/>
      <c r="K40" s="23"/>
      <c r="L40" s="23"/>
      <c r="M40" s="23"/>
      <c r="N40" s="23"/>
      <c r="O40" s="23"/>
    </row>
    <row r="41" spans="2:16" ht="14.4" thickBot="1" x14ac:dyDescent="0.35">
      <c r="B41" s="135"/>
      <c r="C41" s="136"/>
      <c r="D41" s="137"/>
      <c r="E41" s="23"/>
      <c r="F41" s="23"/>
      <c r="G41" s="23"/>
      <c r="H41" s="23"/>
      <c r="I41" s="23"/>
      <c r="J41" s="23"/>
      <c r="K41" s="23"/>
      <c r="L41" s="23"/>
      <c r="M41" s="23"/>
      <c r="N41" s="23"/>
      <c r="O41" s="23"/>
    </row>
    <row r="45" spans="2:16" s="119" customFormat="1" x14ac:dyDescent="0.3">
      <c r="B45" s="104"/>
      <c r="C45" s="104"/>
      <c r="D45" s="104"/>
      <c r="E45" s="104"/>
      <c r="F45" s="104"/>
      <c r="G45" s="104"/>
      <c r="H45" s="104"/>
      <c r="I45" s="104"/>
      <c r="J45" s="104"/>
      <c r="K45" s="104"/>
      <c r="L45" s="104"/>
      <c r="M45" s="104"/>
      <c r="N45" s="104"/>
      <c r="O45" s="104"/>
    </row>
    <row r="48" spans="2:16" s="119" customFormat="1" x14ac:dyDescent="0.3">
      <c r="B48" s="104"/>
      <c r="C48" s="104"/>
      <c r="D48" s="104"/>
      <c r="E48" s="104"/>
      <c r="F48" s="104"/>
      <c r="G48" s="104"/>
      <c r="H48" s="104"/>
      <c r="I48" s="104"/>
      <c r="J48" s="104"/>
      <c r="K48" s="104"/>
      <c r="L48" s="104"/>
      <c r="M48" s="104"/>
      <c r="N48" s="104"/>
      <c r="O48" s="104"/>
      <c r="P48" s="104"/>
    </row>
    <row r="50" spans="16:16" x14ac:dyDescent="0.3">
      <c r="P50" s="127"/>
    </row>
    <row r="51" spans="16:16" x14ac:dyDescent="0.3">
      <c r="P51" s="127"/>
    </row>
    <row r="52" spans="16:16" x14ac:dyDescent="0.3">
      <c r="P52" s="127"/>
    </row>
  </sheetData>
  <sheetProtection algorithmName="SHA-512" hashValue="oqBamFmRa7wKz+B7j9mD5VALwf4Yaaf29CEeIR6tgGUtQLXSJaH/FbDZyKxZF8JjWQkBQqFQqBlgjeEmF10eQw==" saltValue="rfj8GyAmWlix/lPR+DNrpA==" spinCount="100000" sheet="1" objects="1" scenarios="1"/>
  <mergeCells count="6">
    <mergeCell ref="C12:D12"/>
    <mergeCell ref="C3:D3"/>
    <mergeCell ref="F3:M3"/>
    <mergeCell ref="F4:H4"/>
    <mergeCell ref="I4:M4"/>
    <mergeCell ref="G5:M5"/>
  </mergeCells>
  <conditionalFormatting sqref="D16">
    <cfRule type="expression" dxfId="14" priority="13">
      <formula>OR($E$4="Nee",$E$4="N.v.t.")</formula>
    </cfRule>
  </conditionalFormatting>
  <conditionalFormatting sqref="D18">
    <cfRule type="expression" dxfId="13" priority="10">
      <formula>OR($E$4="Nee",$E$4="N.v.t.")</formula>
    </cfRule>
  </conditionalFormatting>
  <conditionalFormatting sqref="D19:D20 G20 E30:O41">
    <cfRule type="expression" dxfId="12" priority="11">
      <formula>OR(UPWGafw="Ja",B18="ovk")</formula>
    </cfRule>
  </conditionalFormatting>
  <conditionalFormatting sqref="D19:D20 G20:G24 E26:O41 G25:H25">
    <cfRule type="expression" dxfId="11" priority="12">
      <formula>$E$9="staffel"</formula>
    </cfRule>
  </conditionalFormatting>
  <conditionalFormatting sqref="D23">
    <cfRule type="expression" dxfId="10" priority="4">
      <formula>OR($E$4="Nee",$E$4="N.v.t.")</formula>
    </cfRule>
  </conditionalFormatting>
  <conditionalFormatting sqref="F5">
    <cfRule type="expression" dxfId="9" priority="14">
      <formula>OR($E$4="Nee",$E$4="N.v.t.")</formula>
    </cfRule>
  </conditionalFormatting>
  <conditionalFormatting sqref="F6:G6">
    <cfRule type="expression" dxfId="8" priority="18">
      <formula>OR($E$4="Nee",$E$4="N.v.t.")</formula>
    </cfRule>
  </conditionalFormatting>
  <conditionalFormatting sqref="G7:G8">
    <cfRule type="expression" dxfId="7" priority="17">
      <formula>OR(UPWGafw="Ja",E7="ovk")</formula>
    </cfRule>
  </conditionalFormatting>
  <conditionalFormatting sqref="G21:G23 E26:O29">
    <cfRule type="expression" dxfId="6" priority="116">
      <formula>OR(UPWGafw="Ja",C19="ovk")</formula>
    </cfRule>
  </conditionalFormatting>
  <conditionalFormatting sqref="G24">
    <cfRule type="expression" dxfId="5" priority="114">
      <formula>OR(UPWGafw="Ja",E19="ovk")</formula>
    </cfRule>
  </conditionalFormatting>
  <conditionalFormatting sqref="G25:H25">
    <cfRule type="expression" dxfId="4" priority="20">
      <formula>OR(UPWGafw="Ja",#REF!="ovk")</formula>
    </cfRule>
  </conditionalFormatting>
  <conditionalFormatting sqref="H25">
    <cfRule type="expression" dxfId="3" priority="19">
      <formula>$E$9="staffel"</formula>
    </cfRule>
    <cfRule type="expression" dxfId="2" priority="21">
      <formula>OR(UPWGafw="Ja",#REF!="ovk")</formula>
    </cfRule>
  </conditionalFormatting>
  <conditionalFormatting sqref="J6:J8">
    <cfRule type="expression" dxfId="1" priority="15">
      <formula>OR(UPWGafw="Ja",E9="ovk")</formula>
    </cfRule>
    <cfRule type="expression" dxfId="0" priority="16">
      <formula>$E$9="staffel"</formula>
    </cfRule>
  </conditionalFormatting>
  <dataValidations count="3">
    <dataValidation type="list" allowBlank="1" showInputMessage="1" showErrorMessage="1" sqref="D9" xr:uid="{2A6545E8-9EB4-44F1-821C-92E6F20BCAF9}">
      <formula1>"Ja,Nee"</formula1>
    </dataValidation>
    <dataValidation type="list" allowBlank="1" showInputMessage="1" showErrorMessage="1" sqref="G6" xr:uid="{6B0C4AD2-1828-47E7-B788-9FD9F38E72A7}">
      <formula1>"2024, 2025"</formula1>
    </dataValidation>
    <dataValidation type="list" allowBlank="1" showInputMessage="1" showErrorMessage="1" sqref="F4:H4" xr:uid="{27E793D4-0D50-4A9C-BD87-9971A3892FCD}">
      <formula1>WerkgeversNummer</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8C3134C-2CB2-4C2C-A662-B9971F63EDB5}">
          <x14:formula1>
            <xm:f>Verlofsoorten!$A$2:$A$10</xm:f>
          </x14:formula1>
          <xm:sqref>D22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89581-422E-4C9F-AF54-3DF201BC9536}">
  <sheetPr codeName="Blad2">
    <tabColor theme="2" tint="-9.9978637043366805E-2"/>
  </sheetPr>
  <dimension ref="A1:Y21"/>
  <sheetViews>
    <sheetView topLeftCell="I1" workbookViewId="0">
      <selection activeCell="W6" sqref="W6"/>
    </sheetView>
  </sheetViews>
  <sheetFormatPr defaultColWidth="16.44140625" defaultRowHeight="14.4" x14ac:dyDescent="0.3"/>
  <cols>
    <col min="1" max="1" width="23.6640625" customWidth="1"/>
    <col min="2" max="2" width="22.33203125" customWidth="1"/>
    <col min="3" max="3" width="12.109375" bestFit="1" customWidth="1"/>
    <col min="4" max="4" width="13.109375" bestFit="1" customWidth="1"/>
    <col min="5" max="5" width="12.5546875" bestFit="1" customWidth="1"/>
    <col min="6" max="6" width="16" customWidth="1"/>
    <col min="7" max="7" width="13.5546875" bestFit="1" customWidth="1"/>
    <col min="8" max="8" width="12.44140625" bestFit="1" customWidth="1"/>
    <col min="9" max="9" width="26.5546875" bestFit="1" customWidth="1"/>
    <col min="10" max="10" width="18.33203125" bestFit="1" customWidth="1"/>
    <col min="11" max="11" width="13.109375" style="14" bestFit="1" customWidth="1"/>
    <col min="12" max="12" width="12.44140625" bestFit="1" customWidth="1"/>
    <col min="13" max="13" width="12.44140625" customWidth="1"/>
    <col min="14" max="14" width="17.33203125" bestFit="1" customWidth="1"/>
    <col min="15" max="15" width="16.109375" bestFit="1" customWidth="1"/>
    <col min="16" max="16" width="8.109375" bestFit="1" customWidth="1"/>
    <col min="17" max="17" width="11.44140625" bestFit="1" customWidth="1"/>
    <col min="18" max="18" width="18" bestFit="1" customWidth="1"/>
    <col min="19" max="19" width="46.6640625" bestFit="1" customWidth="1"/>
    <col min="20" max="20" width="38.5546875" bestFit="1" customWidth="1"/>
    <col min="21" max="21" width="17" bestFit="1" customWidth="1"/>
    <col min="22" max="22" width="13.5546875" bestFit="1" customWidth="1"/>
    <col min="23" max="23" width="15.88671875" customWidth="1"/>
    <col min="24" max="24" width="36.44140625" bestFit="1" customWidth="1"/>
  </cols>
  <sheetData>
    <row r="1" spans="1:25" ht="21" x14ac:dyDescent="0.4">
      <c r="A1" s="8" t="s">
        <v>0</v>
      </c>
      <c r="K1"/>
    </row>
    <row r="2" spans="1:25" ht="18" x14ac:dyDescent="0.35">
      <c r="A2" s="9" t="s">
        <v>1</v>
      </c>
      <c r="B2" s="98">
        <v>2025</v>
      </c>
      <c r="C2" s="4"/>
      <c r="D2" s="4"/>
      <c r="K2"/>
    </row>
    <row r="3" spans="1:25" ht="18" x14ac:dyDescent="0.35">
      <c r="A3" s="9"/>
      <c r="B3" s="4"/>
      <c r="C3" s="4"/>
      <c r="D3" s="4"/>
      <c r="K3"/>
    </row>
    <row r="4" spans="1:25" ht="21" x14ac:dyDescent="0.4">
      <c r="A4" s="8" t="s">
        <v>2</v>
      </c>
      <c r="C4" s="4"/>
      <c r="D4" s="4"/>
      <c r="K4"/>
    </row>
    <row r="5" spans="1:25" x14ac:dyDescent="0.3">
      <c r="A5" s="17" t="s">
        <v>3</v>
      </c>
      <c r="B5" s="17" t="s">
        <v>4</v>
      </c>
      <c r="C5" s="17" t="s">
        <v>5</v>
      </c>
      <c r="D5" s="17" t="s">
        <v>6</v>
      </c>
      <c r="E5" s="17" t="s">
        <v>7</v>
      </c>
      <c r="F5" s="17" t="s">
        <v>8</v>
      </c>
      <c r="G5" s="17" t="s">
        <v>9</v>
      </c>
      <c r="H5" s="17" t="s">
        <v>10</v>
      </c>
      <c r="I5" s="17" t="s">
        <v>11</v>
      </c>
      <c r="J5" s="17" t="s">
        <v>12</v>
      </c>
      <c r="K5" s="17" t="s">
        <v>13</v>
      </c>
      <c r="L5" s="17" t="s">
        <v>14</v>
      </c>
      <c r="M5" s="17" t="s">
        <v>15</v>
      </c>
      <c r="N5" s="17" t="s">
        <v>16</v>
      </c>
      <c r="O5" s="17" t="s">
        <v>17</v>
      </c>
      <c r="P5" s="17" t="s">
        <v>18</v>
      </c>
      <c r="Q5" s="17" t="s">
        <v>19</v>
      </c>
      <c r="R5" s="17" t="s">
        <v>20</v>
      </c>
      <c r="S5" s="17" t="s">
        <v>21</v>
      </c>
      <c r="T5" s="17" t="s">
        <v>22</v>
      </c>
      <c r="U5" s="17" t="s">
        <v>23</v>
      </c>
      <c r="V5" s="17" t="s">
        <v>24</v>
      </c>
      <c r="W5" s="17" t="s">
        <v>25</v>
      </c>
      <c r="X5" s="17" t="s">
        <v>26</v>
      </c>
      <c r="Y5" s="17" t="s">
        <v>27</v>
      </c>
    </row>
    <row r="6" spans="1:25" x14ac:dyDescent="0.3">
      <c r="A6" s="93" t="s">
        <v>28</v>
      </c>
      <c r="B6" s="93">
        <v>913998953</v>
      </c>
      <c r="C6" s="94">
        <v>45658</v>
      </c>
      <c r="D6" s="94">
        <v>45688</v>
      </c>
      <c r="E6" s="93">
        <f>DAYS360(C6,D6,0)</f>
        <v>30</v>
      </c>
      <c r="F6" s="95">
        <v>160000</v>
      </c>
      <c r="G6" s="96">
        <v>0.5</v>
      </c>
      <c r="H6" s="10">
        <f>IF(MIN(F6-Q6,R6-Q6)&lt;0,0,MIN(F6-Q6,R6-Q6))</f>
        <v>118005</v>
      </c>
      <c r="I6" s="10">
        <f>IF((F6*G6/12)-(Q6/12*G6)&lt;0,0,(F6*G6/12)-(Q6/12*G6))</f>
        <v>5841.875</v>
      </c>
      <c r="J6" s="97">
        <v>5330</v>
      </c>
      <c r="K6" t="str">
        <f>IF($B$2=2024,VLOOKUP($J6,'4. Parameters'!B:I,8,0),VLOOKUP($J6,'4. Parameters'!B:P,15,0))</f>
        <v>PNO4</v>
      </c>
      <c r="L6" s="97" t="s">
        <v>29</v>
      </c>
      <c r="M6" s="96">
        <v>0</v>
      </c>
      <c r="N6" s="11">
        <f>IF($B$2=2024,VLOOKUP($J6,'4. Parameters'!B:H,5,0),VLOOKUP($J6,'4. Parameters'!B:O,12,0))</f>
        <v>2.4E-2</v>
      </c>
      <c r="O6" s="12">
        <f>IF($B$2=2024,VLOOKUP($J6,'4. Parameters'!B:H,6,0),VLOOKUP($J6,'4. Parameters'!B:O,13,0))</f>
        <v>0.20499999999999999</v>
      </c>
      <c r="P6" s="12">
        <f>IF($B$2=2024,VLOOKUP($J6,'4. Parameters'!B:H,7,0),VLOOKUP($J6,'4. Parameters'!B:O,14,0))</f>
        <v>2.3E-2</v>
      </c>
      <c r="Q6" s="13">
        <f>IF($B$2=2024,VLOOKUP($J6,'4. Parameters'!B:H,3,0),VLOOKUP($J6,'4. Parameters'!B:O,10,0))</f>
        <v>19795</v>
      </c>
      <c r="R6" s="13">
        <f>IF($B$2=2024,VLOOKUP($J6,'4. Parameters'!B:H,4,0),VLOOKUP($J6,'4. Parameters'!B:O,11,0))</f>
        <v>137800</v>
      </c>
      <c r="S6" s="14">
        <f t="shared" ref="S6" si="0">IF(L6="Ja",((H6*N6)*G6)/12,0)*(100%-M6)</f>
        <v>0</v>
      </c>
      <c r="T6" s="10">
        <f t="shared" ref="T6" si="1">IF(L6="Nee",((H6*O6)*G6)/12,0)*E6/30*(100%-M6)</f>
        <v>1007.9593749999999</v>
      </c>
      <c r="U6" s="10">
        <f t="shared" ref="U6" si="2">IF(L6="Nee",IF(F6&gt;R6,((F6-R6)*P6)/12*G6,0),0)*E6/30*(100%-M6)</f>
        <v>21.274999999999999</v>
      </c>
      <c r="V6" s="15">
        <f>IF(L6="Ja",S6,T6+U6)</f>
        <v>1029.234375</v>
      </c>
      <c r="W6" s="97">
        <v>12</v>
      </c>
      <c r="X6" s="14">
        <f>V6*W6</f>
        <v>12350.8125</v>
      </c>
      <c r="Y6" s="97"/>
    </row>
    <row r="7" spans="1:25" x14ac:dyDescent="0.3">
      <c r="A7" s="93" t="s">
        <v>30</v>
      </c>
      <c r="B7" s="93">
        <v>913998813</v>
      </c>
      <c r="C7" s="94">
        <v>45658</v>
      </c>
      <c r="D7" s="94">
        <v>45688</v>
      </c>
      <c r="E7" s="93">
        <f t="shared" ref="E7:E21" si="3">DAYS360(C7,D7,0)</f>
        <v>30</v>
      </c>
      <c r="F7" s="95">
        <v>33600</v>
      </c>
      <c r="G7" s="96">
        <v>0.8</v>
      </c>
      <c r="H7" s="10">
        <f t="shared" ref="H7:H21" si="4">IF(MIN(F7-Q7,R7-Q7)&lt;0,0,MIN(F7-Q7,R7-Q7))</f>
        <v>16945</v>
      </c>
      <c r="I7" s="10">
        <f t="shared" ref="I7:I21" si="5">IF((F7*G7/12)-(Q7/12*G7)&lt;0,0,(F7*G7/12)-(Q7/12*G7))</f>
        <v>1129.6666666666665</v>
      </c>
      <c r="J7" s="97">
        <v>4701</v>
      </c>
      <c r="K7" t="str">
        <f>IF($B$2=2024,VLOOKUP($J7,'4. Parameters'!B:I,8,0),VLOOKUP($J7,'4. Parameters'!B:P,15,0))</f>
        <v>F&amp;B</v>
      </c>
      <c r="L7" s="97" t="s">
        <v>29</v>
      </c>
      <c r="M7" s="96">
        <v>0</v>
      </c>
      <c r="N7" s="11">
        <f>IF($B$2=2024,VLOOKUP($J7,'4. Parameters'!B:H,5,0),VLOOKUP($J7,'4. Parameters'!B:O,12,0))</f>
        <v>0</v>
      </c>
      <c r="O7" s="12">
        <f>IF($B$2=2024,VLOOKUP($J7,'4. Parameters'!B:H,6,0),VLOOKUP($J7,'4. Parameters'!B:O,13,0))</f>
        <v>0.20399999999999999</v>
      </c>
      <c r="P7" s="12">
        <f>IF($B$2=2024,VLOOKUP($J7,'4. Parameters'!B:H,7,0),VLOOKUP($J7,'4. Parameters'!B:O,14,0))</f>
        <v>0</v>
      </c>
      <c r="Q7" s="13">
        <f>IF($B$2=2024,VLOOKUP($J7,'4. Parameters'!B:H,3,0),VLOOKUP($J7,'4. Parameters'!B:O,10,0))</f>
        <v>16655</v>
      </c>
      <c r="R7" s="13">
        <f>IF($B$2=2024,VLOOKUP($J7,'4. Parameters'!B:H,4,0),VLOOKUP($J7,'4. Parameters'!B:O,11,0))</f>
        <v>137800</v>
      </c>
      <c r="S7" s="14">
        <f t="shared" ref="S7:S21" si="6">IF(L7="Ja",((H7*N7)*G7)/12,0)*(100%-M7)</f>
        <v>0</v>
      </c>
      <c r="T7" s="10">
        <f t="shared" ref="T7" si="7">IF(L7="Nee",((H7*O7)*G7)/12,0)*(E7/30)*(100%-M7)</f>
        <v>230.452</v>
      </c>
      <c r="U7" s="10">
        <f t="shared" ref="U7:U21" si="8">IF(L7="Nee",IF(F7&gt;R7,((F7-R7)*P7)/12*G7,0),0)*E7/30*(100%-M7)</f>
        <v>0</v>
      </c>
      <c r="V7" s="15">
        <f t="shared" ref="V7:V21" si="9">IF(L7="Ja",S7,T7+U7)</f>
        <v>230.452</v>
      </c>
      <c r="W7" s="97">
        <v>1</v>
      </c>
      <c r="X7" s="14">
        <f t="shared" ref="X7:X21" si="10">V7*W7</f>
        <v>230.452</v>
      </c>
      <c r="Y7" s="97"/>
    </row>
    <row r="8" spans="1:25" x14ac:dyDescent="0.3">
      <c r="A8" s="93" t="s">
        <v>31</v>
      </c>
      <c r="B8" s="93">
        <v>913999039</v>
      </c>
      <c r="C8" s="94">
        <v>45658</v>
      </c>
      <c r="D8" s="94">
        <v>45688</v>
      </c>
      <c r="E8" s="93">
        <f t="shared" si="3"/>
        <v>30</v>
      </c>
      <c r="F8" s="95">
        <v>54000</v>
      </c>
      <c r="G8" s="96">
        <v>0.8</v>
      </c>
      <c r="H8" s="10">
        <f t="shared" si="4"/>
        <v>37345</v>
      </c>
      <c r="I8" s="10">
        <f t="shared" si="5"/>
        <v>2489.6666666666665</v>
      </c>
      <c r="J8" s="97">
        <v>4701</v>
      </c>
      <c r="K8" t="str">
        <f>IF($B$2=2024,VLOOKUP($J8,'4. Parameters'!B:I,8,0),VLOOKUP($J8,'4. Parameters'!B:P,15,0))</f>
        <v>F&amp;B</v>
      </c>
      <c r="L8" s="97" t="s">
        <v>29</v>
      </c>
      <c r="M8" s="96">
        <v>0</v>
      </c>
      <c r="N8" s="11">
        <f>IF($B$2=2024,VLOOKUP($J8,'4. Parameters'!B:H,5,0),VLOOKUP($J8,'4. Parameters'!B:O,12,0))</f>
        <v>0</v>
      </c>
      <c r="O8" s="12">
        <f>IF($B$2=2024,VLOOKUP($J8,'4. Parameters'!B:H,6,0),VLOOKUP($J8,'4. Parameters'!B:O,13,0))</f>
        <v>0.20399999999999999</v>
      </c>
      <c r="P8" s="12">
        <f>IF($B$2=2024,VLOOKUP($J8,'4. Parameters'!B:H,7,0),VLOOKUP($J8,'4. Parameters'!B:O,14,0))</f>
        <v>0</v>
      </c>
      <c r="Q8" s="13">
        <f>IF($B$2=2024,VLOOKUP($J8,'4. Parameters'!B:H,3,0),VLOOKUP($J8,'4. Parameters'!B:O,10,0))</f>
        <v>16655</v>
      </c>
      <c r="R8" s="13">
        <f>IF($B$2=2024,VLOOKUP($J8,'4. Parameters'!B:H,4,0),VLOOKUP($J8,'4. Parameters'!B:O,11,0))</f>
        <v>137800</v>
      </c>
      <c r="S8" s="14">
        <f t="shared" si="6"/>
        <v>0</v>
      </c>
      <c r="T8" s="10">
        <f t="shared" ref="T8" si="11">IF(L8="Nee",((H8*O8)*G8)/12,0)*E8/30*(100%-M8)</f>
        <v>507.892</v>
      </c>
      <c r="U8" s="10">
        <f t="shared" si="8"/>
        <v>0</v>
      </c>
      <c r="V8" s="15">
        <f t="shared" si="9"/>
        <v>507.892</v>
      </c>
      <c r="W8" s="97">
        <v>1</v>
      </c>
      <c r="X8" s="14">
        <f t="shared" si="10"/>
        <v>507.892</v>
      </c>
      <c r="Y8" s="97"/>
    </row>
    <row r="9" spans="1:25" x14ac:dyDescent="0.3">
      <c r="A9" s="93" t="s">
        <v>32</v>
      </c>
      <c r="B9" s="93">
        <v>913999374</v>
      </c>
      <c r="C9" s="94">
        <v>45658</v>
      </c>
      <c r="D9" s="94">
        <v>45688</v>
      </c>
      <c r="E9" s="93">
        <f t="shared" si="3"/>
        <v>30</v>
      </c>
      <c r="F9" s="95">
        <v>26244</v>
      </c>
      <c r="G9" s="96">
        <v>0.8</v>
      </c>
      <c r="H9" s="10">
        <f t="shared" si="4"/>
        <v>9589</v>
      </c>
      <c r="I9" s="10">
        <f t="shared" si="5"/>
        <v>639.26666666666665</v>
      </c>
      <c r="J9" s="97">
        <v>4701</v>
      </c>
      <c r="K9" t="str">
        <f>IF($B$2=2024,VLOOKUP($J9,'4. Parameters'!B:I,8,0),VLOOKUP($J9,'4. Parameters'!B:P,15,0))</f>
        <v>F&amp;B</v>
      </c>
      <c r="L9" s="97" t="s">
        <v>29</v>
      </c>
      <c r="M9" s="96">
        <v>0</v>
      </c>
      <c r="N9" s="11">
        <f>IF($B$2=2024,VLOOKUP($J9,'4. Parameters'!B:H,5,0),VLOOKUP($J9,'4. Parameters'!B:O,12,0))</f>
        <v>0</v>
      </c>
      <c r="O9" s="12">
        <f>IF($B$2=2024,VLOOKUP($J9,'4. Parameters'!B:H,6,0),VLOOKUP($J9,'4. Parameters'!B:O,13,0))</f>
        <v>0.20399999999999999</v>
      </c>
      <c r="P9" s="12">
        <f>IF($B$2=2024,VLOOKUP($J9,'4. Parameters'!B:H,7,0),VLOOKUP($J9,'4. Parameters'!B:O,14,0))</f>
        <v>0</v>
      </c>
      <c r="Q9" s="13">
        <f>IF($B$2=2024,VLOOKUP($J9,'4. Parameters'!B:H,3,0),VLOOKUP($J9,'4. Parameters'!B:O,10,0))</f>
        <v>16655</v>
      </c>
      <c r="R9" s="13">
        <f>IF($B$2=2024,VLOOKUP($J9,'4. Parameters'!B:H,4,0),VLOOKUP($J9,'4. Parameters'!B:O,11,0))</f>
        <v>137800</v>
      </c>
      <c r="S9" s="14">
        <f t="shared" si="6"/>
        <v>0</v>
      </c>
      <c r="T9" s="10">
        <f t="shared" ref="T9:T10" si="12">IF(L9="Nee",((H9*O9)*G9)/12,0)*E9/30*(100%-M9)</f>
        <v>130.41040000000001</v>
      </c>
      <c r="U9" s="10">
        <f t="shared" si="8"/>
        <v>0</v>
      </c>
      <c r="V9" s="15">
        <f t="shared" si="9"/>
        <v>130.41040000000001</v>
      </c>
      <c r="W9" s="97">
        <v>1</v>
      </c>
      <c r="X9" s="14">
        <f t="shared" si="10"/>
        <v>130.41040000000001</v>
      </c>
      <c r="Y9" s="97"/>
    </row>
    <row r="10" spans="1:25" x14ac:dyDescent="0.3">
      <c r="A10" s="93" t="s">
        <v>200</v>
      </c>
      <c r="B10" s="93">
        <v>913998722</v>
      </c>
      <c r="C10" s="94">
        <v>45663</v>
      </c>
      <c r="D10" s="94">
        <v>45688</v>
      </c>
      <c r="E10" s="93">
        <f t="shared" ref="E10" si="13">DAYS360(C10,D10,0)</f>
        <v>25</v>
      </c>
      <c r="F10" s="95">
        <v>45600</v>
      </c>
      <c r="G10" s="96">
        <v>0.8</v>
      </c>
      <c r="H10" s="10">
        <f t="shared" ref="H10" si="14">IF(MIN(F10-Q10,R10-Q10)&lt;0,0,MIN(F10-Q10,R10-Q10))</f>
        <v>28945</v>
      </c>
      <c r="I10" s="10">
        <f t="shared" ref="I10" si="15">IF((F10*G10/12)-(Q10/12*G10)&lt;0,0,(F10*G10/12)-(Q10/12*G10))</f>
        <v>1929.6666666666665</v>
      </c>
      <c r="J10" s="97">
        <v>4701</v>
      </c>
      <c r="K10" t="str">
        <f>IF($B$2=2024,VLOOKUP($J10,'4. Parameters'!B:I,8,0),VLOOKUP($J10,'4. Parameters'!B:P,15,0))</f>
        <v>F&amp;B</v>
      </c>
      <c r="L10" s="97" t="s">
        <v>29</v>
      </c>
      <c r="M10" s="96">
        <v>0</v>
      </c>
      <c r="N10" s="11">
        <f>IF($B$2=2024,VLOOKUP($J10,'4. Parameters'!B:H,5,0),VLOOKUP($J10,'4. Parameters'!B:O,12,0))</f>
        <v>0</v>
      </c>
      <c r="O10" s="12">
        <f>IF($B$2=2024,VLOOKUP($J10,'4. Parameters'!B:H,6,0),VLOOKUP($J10,'4. Parameters'!B:O,13,0))</f>
        <v>0.20399999999999999</v>
      </c>
      <c r="P10" s="12">
        <f>IF($B$2=2024,VLOOKUP($J10,'4. Parameters'!B:H,7,0),VLOOKUP($J10,'4. Parameters'!B:O,14,0))</f>
        <v>0</v>
      </c>
      <c r="Q10" s="13">
        <f>IF($B$2=2024,VLOOKUP($J10,'4. Parameters'!B:H,3,0),VLOOKUP($J10,'4. Parameters'!B:O,10,0))</f>
        <v>16655</v>
      </c>
      <c r="R10" s="13">
        <f>IF($B$2=2024,VLOOKUP($J10,'4. Parameters'!B:H,4,0),VLOOKUP($J10,'4. Parameters'!B:O,11,0))</f>
        <v>137800</v>
      </c>
      <c r="S10" s="14">
        <f t="shared" ref="S10" si="16">IF(L10="Ja",((H10*N10)*G10)/12,0)*(100%-M10)</f>
        <v>0</v>
      </c>
      <c r="T10" s="10">
        <f t="shared" si="12"/>
        <v>328.04333333333329</v>
      </c>
      <c r="U10" s="10">
        <f t="shared" ref="U10" si="17">IF(L10="Nee",IF(F10&gt;R10,((F10-R10)*P10)/12*G10,0),0)*E10/30*(100%-M10)</f>
        <v>0</v>
      </c>
      <c r="V10" s="15">
        <f t="shared" ref="V10" si="18">IF(L10="Ja",S10,T10+U10)</f>
        <v>328.04333333333329</v>
      </c>
      <c r="W10" s="97">
        <v>1</v>
      </c>
      <c r="X10" s="14">
        <f t="shared" ref="X10" si="19">V10*W10</f>
        <v>328.04333333333329</v>
      </c>
      <c r="Y10" s="97"/>
    </row>
    <row r="11" spans="1:25" x14ac:dyDescent="0.3">
      <c r="A11" s="93" t="s">
        <v>201</v>
      </c>
      <c r="B11" s="93">
        <v>913998771</v>
      </c>
      <c r="C11" s="94">
        <v>45673</v>
      </c>
      <c r="D11" s="94">
        <v>45688</v>
      </c>
      <c r="E11" s="93">
        <f t="shared" ref="E11" si="20">DAYS360(C11,D11,0)</f>
        <v>15</v>
      </c>
      <c r="F11" s="95">
        <v>22200</v>
      </c>
      <c r="G11" s="96">
        <v>0.8</v>
      </c>
      <c r="H11" s="10">
        <f t="shared" ref="H11" si="21">IF(MIN(F11-Q11,R11-Q11)&lt;0,0,MIN(F11-Q11,R11-Q11))</f>
        <v>5545</v>
      </c>
      <c r="I11" s="10">
        <f t="shared" ref="I11" si="22">IF((F11*G11/12)-(Q11/12*G11)&lt;0,0,(F11*G11/12)-(Q11/12*G11))</f>
        <v>369.66666666666652</v>
      </c>
      <c r="J11" s="97">
        <v>4701</v>
      </c>
      <c r="K11" t="str">
        <f>IF($B$2=2024,VLOOKUP($J11,'4. Parameters'!B:I,8,0),VLOOKUP($J11,'4. Parameters'!B:P,15,0))</f>
        <v>F&amp;B</v>
      </c>
      <c r="L11" s="97" t="s">
        <v>29</v>
      </c>
      <c r="M11" s="96">
        <v>0</v>
      </c>
      <c r="N11" s="11">
        <f>IF($B$2=2024,VLOOKUP($J11,'4. Parameters'!B:H,5,0),VLOOKUP($J11,'4. Parameters'!B:O,12,0))</f>
        <v>0</v>
      </c>
      <c r="O11" s="12">
        <f>IF($B$2=2024,VLOOKUP($J11,'4. Parameters'!B:H,6,0),VLOOKUP($J11,'4. Parameters'!B:O,13,0))</f>
        <v>0.20399999999999999</v>
      </c>
      <c r="P11" s="12">
        <f>IF($B$2=2024,VLOOKUP($J11,'4. Parameters'!B:H,7,0),VLOOKUP($J11,'4. Parameters'!B:O,14,0))</f>
        <v>0</v>
      </c>
      <c r="Q11" s="13">
        <f>IF($B$2=2024,VLOOKUP($J11,'4. Parameters'!B:H,3,0),VLOOKUP($J11,'4. Parameters'!B:O,10,0))</f>
        <v>16655</v>
      </c>
      <c r="R11" s="13">
        <f>IF($B$2=2024,VLOOKUP($J11,'4. Parameters'!B:H,4,0),VLOOKUP($J11,'4. Parameters'!B:O,11,0))</f>
        <v>137800</v>
      </c>
      <c r="S11" s="14">
        <f t="shared" ref="S11" si="23">IF(L11="Ja",((H11*N11)*G11)/12,0)*(100%-M11)</f>
        <v>0</v>
      </c>
      <c r="T11" s="10">
        <f t="shared" ref="T11" si="24">IF(L11="Nee",((H11*O11)*G11)/12,0)*E11/30*(100%-M11)</f>
        <v>37.705999999999996</v>
      </c>
      <c r="U11" s="10">
        <f t="shared" ref="U11" si="25">IF(L11="Nee",IF(F11&gt;R11,((F11-R11)*P11)/12*G11,0),0)*E11/30*(100%-M11)</f>
        <v>0</v>
      </c>
      <c r="V11" s="15">
        <f t="shared" ref="V11" si="26">IF(L11="Ja",S11,T11+U11)</f>
        <v>37.705999999999996</v>
      </c>
      <c r="W11" s="97">
        <v>1</v>
      </c>
      <c r="X11" s="14">
        <f t="shared" ref="X11" si="27">V11*W11</f>
        <v>37.705999999999996</v>
      </c>
      <c r="Y11" s="97"/>
    </row>
    <row r="12" spans="1:25" x14ac:dyDescent="0.3">
      <c r="A12" s="93" t="s">
        <v>202</v>
      </c>
      <c r="B12" s="93">
        <v>913998746</v>
      </c>
      <c r="C12" s="94">
        <v>45658</v>
      </c>
      <c r="D12" s="94">
        <v>45688</v>
      </c>
      <c r="E12" s="93">
        <f t="shared" ref="E12:E13" si="28">DAYS360(C12,D12,0)</f>
        <v>30</v>
      </c>
      <c r="F12" s="95">
        <v>26244</v>
      </c>
      <c r="G12" s="96">
        <v>0.8</v>
      </c>
      <c r="H12" s="10">
        <f t="shared" ref="H12:H13" si="29">IF(MIN(F12-Q12,R12-Q12)&lt;0,0,MIN(F12-Q12,R12-Q12))</f>
        <v>9589</v>
      </c>
      <c r="I12" s="10">
        <f t="shared" ref="I12:I13" si="30">IF((F12*G12/12)-(Q12/12*G12)&lt;0,0,(F12*G12/12)-(Q12/12*G12))</f>
        <v>639.26666666666665</v>
      </c>
      <c r="J12" s="97">
        <v>4701</v>
      </c>
      <c r="K12" t="str">
        <f>IF($B$2=2024,VLOOKUP($J12,'4. Parameters'!B:I,8,0),VLOOKUP($J12,'4. Parameters'!B:P,15,0))</f>
        <v>F&amp;B</v>
      </c>
      <c r="L12" s="97" t="s">
        <v>29</v>
      </c>
      <c r="M12" s="96">
        <v>0</v>
      </c>
      <c r="N12" s="11">
        <f>IF($B$2=2024,VLOOKUP($J12,'4. Parameters'!B:H,5,0),VLOOKUP($J12,'4. Parameters'!B:O,12,0))</f>
        <v>0</v>
      </c>
      <c r="O12" s="12">
        <f>IF($B$2=2024,VLOOKUP($J12,'4. Parameters'!B:H,6,0),VLOOKUP($J12,'4. Parameters'!B:O,13,0))</f>
        <v>0.20399999999999999</v>
      </c>
      <c r="P12" s="12">
        <f>IF($B$2=2024,VLOOKUP($J12,'4. Parameters'!B:H,7,0),VLOOKUP($J12,'4. Parameters'!B:O,14,0))</f>
        <v>0</v>
      </c>
      <c r="Q12" s="13">
        <f>IF($B$2=2024,VLOOKUP($J12,'4. Parameters'!B:H,3,0),VLOOKUP($J12,'4. Parameters'!B:O,10,0))</f>
        <v>16655</v>
      </c>
      <c r="R12" s="13">
        <f>IF($B$2=2024,VLOOKUP($J12,'4. Parameters'!B:H,4,0),VLOOKUP($J12,'4. Parameters'!B:O,11,0))</f>
        <v>137800</v>
      </c>
      <c r="S12" s="14">
        <f t="shared" ref="S12:S13" si="31">IF(L12="Ja",((H12*N12)*G12)/12,0)*(100%-M12)</f>
        <v>0</v>
      </c>
      <c r="T12" s="10">
        <f t="shared" ref="T12:T13" si="32">IF(L12="Nee",((H12*O12)*G12)/12,0)*E12/30*(100%-M12)</f>
        <v>130.41040000000001</v>
      </c>
      <c r="U12" s="10">
        <f t="shared" ref="U12:U13" si="33">IF(L12="Nee",IF(F12&gt;R12,((F12-R12)*P12)/12*G12,0),0)*E12/30*(100%-M12)</f>
        <v>0</v>
      </c>
      <c r="V12" s="15">
        <f t="shared" ref="V12:V13" si="34">IF(L12="Ja",S12,T12+U12)</f>
        <v>130.41040000000001</v>
      </c>
      <c r="W12" s="97">
        <v>1</v>
      </c>
      <c r="X12" s="14">
        <f t="shared" ref="X12:X13" si="35">V12*W12</f>
        <v>130.41040000000001</v>
      </c>
      <c r="Y12" s="97"/>
    </row>
    <row r="13" spans="1:25" x14ac:dyDescent="0.3">
      <c r="A13" s="93" t="s">
        <v>33</v>
      </c>
      <c r="B13" s="93">
        <v>913998801</v>
      </c>
      <c r="C13" s="94">
        <v>45668</v>
      </c>
      <c r="D13" s="94">
        <v>45688</v>
      </c>
      <c r="E13" s="93">
        <f t="shared" si="28"/>
        <v>20</v>
      </c>
      <c r="F13" s="95">
        <v>42000</v>
      </c>
      <c r="G13" s="96">
        <v>0.8</v>
      </c>
      <c r="H13" s="10">
        <f t="shared" si="29"/>
        <v>25345</v>
      </c>
      <c r="I13" s="10">
        <f t="shared" si="30"/>
        <v>1689.6666666666665</v>
      </c>
      <c r="J13" s="97">
        <v>4701</v>
      </c>
      <c r="K13" t="str">
        <f>IF($B$2=2024,VLOOKUP($J13,'4. Parameters'!B:I,8,0),VLOOKUP($J13,'4. Parameters'!B:P,15,0))</f>
        <v>F&amp;B</v>
      </c>
      <c r="L13" s="97" t="s">
        <v>29</v>
      </c>
      <c r="M13" s="96">
        <v>0</v>
      </c>
      <c r="N13" s="11">
        <f>IF($B$2=2024,VLOOKUP($J13,'4. Parameters'!B:H,5,0),VLOOKUP($J13,'4. Parameters'!B:O,12,0))</f>
        <v>0</v>
      </c>
      <c r="O13" s="12">
        <f>IF($B$2=2024,VLOOKUP($J13,'4. Parameters'!B:H,6,0),VLOOKUP($J13,'4. Parameters'!B:O,13,0))</f>
        <v>0.20399999999999999</v>
      </c>
      <c r="P13" s="12">
        <f>IF($B$2=2024,VLOOKUP($J13,'4. Parameters'!B:H,7,0),VLOOKUP($J13,'4. Parameters'!B:O,14,0))</f>
        <v>0</v>
      </c>
      <c r="Q13" s="13">
        <f>IF($B$2=2024,VLOOKUP($J13,'4. Parameters'!B:H,3,0),VLOOKUP($J13,'4. Parameters'!B:O,10,0))</f>
        <v>16655</v>
      </c>
      <c r="R13" s="13">
        <f>IF($B$2=2024,VLOOKUP($J13,'4. Parameters'!B:H,4,0),VLOOKUP($J13,'4. Parameters'!B:O,11,0))</f>
        <v>137800</v>
      </c>
      <c r="S13" s="14">
        <f t="shared" si="31"/>
        <v>0</v>
      </c>
      <c r="T13" s="10">
        <f t="shared" si="32"/>
        <v>229.79466666666667</v>
      </c>
      <c r="U13" s="10">
        <f t="shared" si="33"/>
        <v>0</v>
      </c>
      <c r="V13" s="15">
        <f t="shared" si="34"/>
        <v>229.79466666666667</v>
      </c>
      <c r="W13" s="97">
        <v>1</v>
      </c>
      <c r="X13" s="14">
        <f t="shared" si="35"/>
        <v>229.79466666666667</v>
      </c>
      <c r="Y13" s="97"/>
    </row>
    <row r="14" spans="1:25" x14ac:dyDescent="0.3">
      <c r="A14" s="93" t="s">
        <v>34</v>
      </c>
      <c r="B14" s="93">
        <v>913998862</v>
      </c>
      <c r="C14" s="94">
        <v>45658</v>
      </c>
      <c r="D14" s="94">
        <v>45688</v>
      </c>
      <c r="E14" s="93">
        <f t="shared" si="3"/>
        <v>30</v>
      </c>
      <c r="F14" s="95">
        <v>36000</v>
      </c>
      <c r="G14" s="96">
        <v>0.8</v>
      </c>
      <c r="H14" s="10">
        <f t="shared" si="4"/>
        <v>19345</v>
      </c>
      <c r="I14" s="10">
        <f t="shared" si="5"/>
        <v>1289.6666666666665</v>
      </c>
      <c r="J14" s="97">
        <v>4701</v>
      </c>
      <c r="K14" t="str">
        <f>IF($B$2=2024,VLOOKUP($J14,'4. Parameters'!B:I,8,0),VLOOKUP($J14,'4. Parameters'!B:P,15,0))</f>
        <v>F&amp;B</v>
      </c>
      <c r="L14" s="97" t="s">
        <v>29</v>
      </c>
      <c r="M14" s="96">
        <v>0</v>
      </c>
      <c r="N14" s="11">
        <f>IF($B$2=2024,VLOOKUP($J14,'4. Parameters'!B:H,5,0),VLOOKUP($J14,'4. Parameters'!B:O,12,0))</f>
        <v>0</v>
      </c>
      <c r="O14" s="12">
        <f>IF($B$2=2024,VLOOKUP($J14,'4. Parameters'!B:H,6,0),VLOOKUP($J14,'4. Parameters'!B:O,13,0))</f>
        <v>0.20399999999999999</v>
      </c>
      <c r="P14" s="12">
        <f>IF($B$2=2024,VLOOKUP($J14,'4. Parameters'!B:H,7,0),VLOOKUP($J14,'4. Parameters'!B:O,14,0))</f>
        <v>0</v>
      </c>
      <c r="Q14" s="13">
        <f>IF($B$2=2024,VLOOKUP($J14,'4. Parameters'!B:H,3,0),VLOOKUP($J14,'4. Parameters'!B:O,10,0))</f>
        <v>16655</v>
      </c>
      <c r="R14" s="13">
        <f>IF($B$2=2024,VLOOKUP($J14,'4. Parameters'!B:H,4,0),VLOOKUP($J14,'4. Parameters'!B:O,11,0))</f>
        <v>137800</v>
      </c>
      <c r="S14" s="14">
        <f t="shared" si="6"/>
        <v>0</v>
      </c>
      <c r="T14" s="10">
        <f t="shared" ref="T14" si="36">IF(L14="Nee",((H14*O14)*G14)/12,0)*E14/30*(100%-M14)</f>
        <v>263.09199999999998</v>
      </c>
      <c r="U14" s="10">
        <f t="shared" si="8"/>
        <v>0</v>
      </c>
      <c r="V14" s="15">
        <f t="shared" si="9"/>
        <v>263.09199999999998</v>
      </c>
      <c r="W14" s="97">
        <v>1</v>
      </c>
      <c r="X14" s="14">
        <f t="shared" si="10"/>
        <v>263.09199999999998</v>
      </c>
      <c r="Y14" s="97"/>
    </row>
    <row r="15" spans="1:25" x14ac:dyDescent="0.3">
      <c r="A15" s="93" t="s">
        <v>36</v>
      </c>
      <c r="B15" s="93">
        <v>913999167</v>
      </c>
      <c r="C15" s="94">
        <v>45658</v>
      </c>
      <c r="D15" s="94">
        <v>45688</v>
      </c>
      <c r="E15" s="93">
        <f t="shared" ref="E15" si="37">DAYS360(C15,D15,0)</f>
        <v>30</v>
      </c>
      <c r="F15" s="95">
        <v>30000</v>
      </c>
      <c r="G15" s="96">
        <v>0.8</v>
      </c>
      <c r="H15" s="10">
        <f t="shared" ref="H15" si="38">IF(MIN(F15-Q15,R15-Q15)&lt;0,0,MIN(F15-Q15,R15-Q15))</f>
        <v>13345</v>
      </c>
      <c r="I15" s="10">
        <f t="shared" ref="I15" si="39">IF((F15*G15/12)-(Q15/12*G15)&lt;0,0,(F15*G15/12)-(Q15/12*G15))</f>
        <v>889.66666666666652</v>
      </c>
      <c r="J15" s="97">
        <v>4701</v>
      </c>
      <c r="K15" t="str">
        <f>IF($B$2=2024,VLOOKUP($J15,'4. Parameters'!B:I,8,0),VLOOKUP($J15,'4. Parameters'!B:P,15,0))</f>
        <v>F&amp;B</v>
      </c>
      <c r="L15" s="97" t="s">
        <v>29</v>
      </c>
      <c r="M15" s="96">
        <v>0</v>
      </c>
      <c r="N15" s="11">
        <f>IF($B$2=2024,VLOOKUP($J15,'4. Parameters'!B:H,5,0),VLOOKUP($J15,'4. Parameters'!B:O,12,0))</f>
        <v>0</v>
      </c>
      <c r="O15" s="12">
        <f>IF($B$2=2024,VLOOKUP($J15,'4. Parameters'!B:H,6,0),VLOOKUP($J15,'4. Parameters'!B:O,13,0))</f>
        <v>0.20399999999999999</v>
      </c>
      <c r="P15" s="12">
        <f>IF($B$2=2024,VLOOKUP($J15,'4. Parameters'!B:H,7,0),VLOOKUP($J15,'4. Parameters'!B:O,14,0))</f>
        <v>0</v>
      </c>
      <c r="Q15" s="13">
        <f>IF($B$2=2024,VLOOKUP($J15,'4. Parameters'!B:H,3,0),VLOOKUP($J15,'4. Parameters'!B:O,10,0))</f>
        <v>16655</v>
      </c>
      <c r="R15" s="13">
        <f>IF($B$2=2024,VLOOKUP($J15,'4. Parameters'!B:H,4,0),VLOOKUP($J15,'4. Parameters'!B:O,11,0))</f>
        <v>137800</v>
      </c>
      <c r="S15" s="14">
        <f t="shared" ref="S15" si="40">IF(L15="Ja",((H15*N15)*G15)/12,0)*(100%-M15)</f>
        <v>0</v>
      </c>
      <c r="T15" s="10">
        <f t="shared" ref="T15" si="41">IF(L15="Nee",((H15*O15)*G15)/12,0)*E15/30*(100%-M15)</f>
        <v>181.49199999999999</v>
      </c>
      <c r="U15" s="10">
        <f t="shared" ref="U15" si="42">IF(L15="Nee",IF(F15&gt;R15,((F15-R15)*P15)/12*G15,0),0)*E15/30*(100%-M15)</f>
        <v>0</v>
      </c>
      <c r="V15" s="15">
        <f t="shared" ref="V15" si="43">IF(L15="Ja",S15,T15+U15)</f>
        <v>181.49199999999999</v>
      </c>
      <c r="W15" s="97">
        <v>1</v>
      </c>
      <c r="X15" s="14">
        <f t="shared" ref="X15" si="44">V15*W15</f>
        <v>181.49199999999999</v>
      </c>
      <c r="Y15" s="97"/>
    </row>
    <row r="16" spans="1:25" x14ac:dyDescent="0.3">
      <c r="A16" s="93" t="s">
        <v>35</v>
      </c>
      <c r="B16" s="93">
        <v>913999180</v>
      </c>
      <c r="C16" s="94">
        <v>45658</v>
      </c>
      <c r="D16" s="94">
        <v>45688</v>
      </c>
      <c r="E16" s="93">
        <f t="shared" si="3"/>
        <v>30</v>
      </c>
      <c r="F16" s="95">
        <v>54009.599999999999</v>
      </c>
      <c r="G16" s="96">
        <v>0.2</v>
      </c>
      <c r="H16" s="10">
        <f t="shared" si="4"/>
        <v>37354.6</v>
      </c>
      <c r="I16" s="10">
        <f t="shared" si="5"/>
        <v>622.5766666666666</v>
      </c>
      <c r="J16" s="97">
        <v>4701</v>
      </c>
      <c r="K16" t="str">
        <f>IF($B$2=2024,VLOOKUP($J16,'4. Parameters'!B:I,8,0),VLOOKUP($J16,'4. Parameters'!B:P,15,0))</f>
        <v>F&amp;B</v>
      </c>
      <c r="L16" s="97" t="s">
        <v>29</v>
      </c>
      <c r="M16" s="96">
        <v>0</v>
      </c>
      <c r="N16" s="11">
        <f>IF($B$2=2024,VLOOKUP($J16,'4. Parameters'!B:H,5,0),VLOOKUP($J16,'4. Parameters'!B:O,12,0))</f>
        <v>0</v>
      </c>
      <c r="O16" s="12">
        <f>IF($B$2=2024,VLOOKUP($J16,'4. Parameters'!B:H,6,0),VLOOKUP($J16,'4. Parameters'!B:O,13,0))</f>
        <v>0.20399999999999999</v>
      </c>
      <c r="P16" s="12">
        <f>IF($B$2=2024,VLOOKUP($J16,'4. Parameters'!B:H,7,0),VLOOKUP($J16,'4. Parameters'!B:O,14,0))</f>
        <v>0</v>
      </c>
      <c r="Q16" s="13">
        <f>IF($B$2=2024,VLOOKUP($J16,'4. Parameters'!B:H,3,0),VLOOKUP($J16,'4. Parameters'!B:O,10,0))</f>
        <v>16655</v>
      </c>
      <c r="R16" s="13">
        <f>IF($B$2=2024,VLOOKUP($J16,'4. Parameters'!B:H,4,0),VLOOKUP($J16,'4. Parameters'!B:O,11,0))</f>
        <v>137800</v>
      </c>
      <c r="S16" s="14">
        <f t="shared" si="6"/>
        <v>0</v>
      </c>
      <c r="T16" s="10">
        <f t="shared" ref="T16" si="45">IF(L16="Nee",((H16*O16)*G16)/12,0)*(E16/30)*(100%-M16)</f>
        <v>127.00564000000001</v>
      </c>
      <c r="U16" s="10">
        <f t="shared" si="8"/>
        <v>0</v>
      </c>
      <c r="V16" s="15">
        <f t="shared" si="9"/>
        <v>127.00564000000001</v>
      </c>
      <c r="W16" s="97">
        <v>1</v>
      </c>
      <c r="X16" s="14">
        <f t="shared" si="10"/>
        <v>127.00564000000001</v>
      </c>
      <c r="Y16" s="97"/>
    </row>
    <row r="17" spans="1:25" x14ac:dyDescent="0.3">
      <c r="A17" s="93" t="s">
        <v>37</v>
      </c>
      <c r="B17" s="93">
        <v>913999301</v>
      </c>
      <c r="C17" s="94">
        <v>45658</v>
      </c>
      <c r="D17" s="94">
        <v>45688</v>
      </c>
      <c r="E17" s="93">
        <f t="shared" si="3"/>
        <v>30</v>
      </c>
      <c r="F17" s="95">
        <v>30000</v>
      </c>
      <c r="G17" s="96">
        <v>0.8</v>
      </c>
      <c r="H17" s="10">
        <f t="shared" si="4"/>
        <v>13345</v>
      </c>
      <c r="I17" s="10">
        <f t="shared" si="5"/>
        <v>889.66666666666652</v>
      </c>
      <c r="J17" s="97">
        <v>4701</v>
      </c>
      <c r="K17" t="str">
        <f>IF($B$2=2024,VLOOKUP($J17,'4. Parameters'!B:I,8,0),VLOOKUP($J17,'4. Parameters'!B:P,15,0))</f>
        <v>F&amp;B</v>
      </c>
      <c r="L17" s="97" t="s">
        <v>29</v>
      </c>
      <c r="M17" s="96">
        <v>0</v>
      </c>
      <c r="N17" s="11">
        <f>IF($B$2=2024,VLOOKUP($J17,'4. Parameters'!B:H,5,0),VLOOKUP($J17,'4. Parameters'!B:O,12,0))</f>
        <v>0</v>
      </c>
      <c r="O17" s="12">
        <f>IF($B$2=2024,VLOOKUP($J17,'4. Parameters'!B:H,6,0),VLOOKUP($J17,'4. Parameters'!B:O,13,0))</f>
        <v>0.20399999999999999</v>
      </c>
      <c r="P17" s="12">
        <f>IF($B$2=2024,VLOOKUP($J17,'4. Parameters'!B:H,7,0),VLOOKUP($J17,'4. Parameters'!B:O,14,0))</f>
        <v>0</v>
      </c>
      <c r="Q17" s="13">
        <f>IF($B$2=2024,VLOOKUP($J17,'4. Parameters'!B:H,3,0),VLOOKUP($J17,'4. Parameters'!B:O,10,0))</f>
        <v>16655</v>
      </c>
      <c r="R17" s="13">
        <f>IF($B$2=2024,VLOOKUP($J17,'4. Parameters'!B:H,4,0),VLOOKUP($J17,'4. Parameters'!B:O,11,0))</f>
        <v>137800</v>
      </c>
      <c r="S17" s="14">
        <f t="shared" si="6"/>
        <v>0</v>
      </c>
      <c r="T17" s="10">
        <f t="shared" ref="T17" si="46">IF(L17="Nee",((H17*O17)*G17)/12,0)*E17/30*(100%-M17)</f>
        <v>181.49199999999999</v>
      </c>
      <c r="U17" s="10">
        <f t="shared" si="8"/>
        <v>0</v>
      </c>
      <c r="V17" s="15">
        <f t="shared" si="9"/>
        <v>181.49199999999999</v>
      </c>
      <c r="W17" s="97">
        <v>1</v>
      </c>
      <c r="X17" s="14">
        <f t="shared" si="10"/>
        <v>181.49199999999999</v>
      </c>
      <c r="Y17" s="97"/>
    </row>
    <row r="18" spans="1:25" x14ac:dyDescent="0.3">
      <c r="A18" s="93" t="s">
        <v>203</v>
      </c>
      <c r="B18" s="93">
        <v>913998795</v>
      </c>
      <c r="C18" s="94">
        <v>45658</v>
      </c>
      <c r="D18" s="94">
        <v>45688</v>
      </c>
      <c r="E18" s="93">
        <f t="shared" ref="E18" si="47">DAYS360(C18,D18,0)</f>
        <v>30</v>
      </c>
      <c r="F18" s="95">
        <v>126000</v>
      </c>
      <c r="G18" s="96">
        <v>0.8</v>
      </c>
      <c r="H18" s="10">
        <f t="shared" ref="H18" si="48">IF(MIN(F18-Q18,R18-Q18)&lt;0,0,MIN(F18-Q18,R18-Q18))</f>
        <v>109345</v>
      </c>
      <c r="I18" s="10">
        <f t="shared" ref="I18" si="49">IF((F18*G18/12)-(Q18/12*G18)&lt;0,0,(F18*G18/12)-(Q18/12*G18))</f>
        <v>7289.6666666666661</v>
      </c>
      <c r="J18" s="97">
        <v>4701</v>
      </c>
      <c r="K18" t="str">
        <f>IF($B$2=2024,VLOOKUP($J18,'4. Parameters'!B:I,8,0),VLOOKUP($J18,'4. Parameters'!B:P,15,0))</f>
        <v>F&amp;B</v>
      </c>
      <c r="L18" s="97" t="s">
        <v>29</v>
      </c>
      <c r="M18" s="96">
        <v>0</v>
      </c>
      <c r="N18" s="11">
        <f>IF($B$2=2024,VLOOKUP($J18,'4. Parameters'!B:H,5,0),VLOOKUP($J18,'4. Parameters'!B:O,12,0))</f>
        <v>0</v>
      </c>
      <c r="O18" s="12">
        <f>IF($B$2=2024,VLOOKUP($J18,'4. Parameters'!B:H,6,0),VLOOKUP($J18,'4. Parameters'!B:O,13,0))</f>
        <v>0.20399999999999999</v>
      </c>
      <c r="P18" s="12">
        <f>IF($B$2=2024,VLOOKUP($J18,'4. Parameters'!B:H,7,0),VLOOKUP($J18,'4. Parameters'!B:O,14,0))</f>
        <v>0</v>
      </c>
      <c r="Q18" s="13">
        <f>IF($B$2=2024,VLOOKUP($J18,'4. Parameters'!B:H,3,0),VLOOKUP($J18,'4. Parameters'!B:O,10,0))</f>
        <v>16655</v>
      </c>
      <c r="R18" s="13">
        <f>IF($B$2=2024,VLOOKUP($J18,'4. Parameters'!B:H,4,0),VLOOKUP($J18,'4. Parameters'!B:O,11,0))</f>
        <v>137800</v>
      </c>
      <c r="S18" s="14">
        <f t="shared" ref="S18" si="50">IF(L18="Ja",((H18*N18)*G18)/12,0)*(100%-M18)</f>
        <v>0</v>
      </c>
      <c r="T18" s="10">
        <f t="shared" ref="T18" si="51">IF(L18="Nee",((H18*O18)*G18)/12,0)*E18/30*(100%-M18)</f>
        <v>1487.0919999999999</v>
      </c>
      <c r="U18" s="10">
        <f t="shared" ref="U18" si="52">IF(L18="Nee",IF(F18&gt;R18,((F18-R18)*P18)/12*G18,0),0)*E18/30*(100%-M18)</f>
        <v>0</v>
      </c>
      <c r="V18" s="15">
        <f t="shared" ref="V18" si="53">IF(L18="Ja",S18,T18+U18)</f>
        <v>1487.0919999999999</v>
      </c>
      <c r="W18" s="97">
        <v>1</v>
      </c>
      <c r="X18" s="14">
        <f t="shared" ref="X18" si="54">V18*W18</f>
        <v>1487.0919999999999</v>
      </c>
      <c r="Y18" s="97"/>
    </row>
    <row r="19" spans="1:25" x14ac:dyDescent="0.3">
      <c r="A19" s="93" t="s">
        <v>38</v>
      </c>
      <c r="B19" s="93">
        <v>913999179</v>
      </c>
      <c r="C19" s="94">
        <v>45658</v>
      </c>
      <c r="D19" s="94">
        <v>45688</v>
      </c>
      <c r="E19" s="93">
        <f t="shared" si="3"/>
        <v>30</v>
      </c>
      <c r="F19" s="95">
        <v>36000.69</v>
      </c>
      <c r="G19" s="96">
        <v>0.79998000000000002</v>
      </c>
      <c r="H19" s="10">
        <f t="shared" si="4"/>
        <v>19345.690000000002</v>
      </c>
      <c r="I19" s="10">
        <f t="shared" si="5"/>
        <v>1289.6804238500001</v>
      </c>
      <c r="J19" s="97">
        <v>4701</v>
      </c>
      <c r="K19" t="str">
        <f>IF($B$2=2024,VLOOKUP($J19,'4. Parameters'!B:I,8,0),VLOOKUP($J19,'4. Parameters'!B:P,15,0))</f>
        <v>F&amp;B</v>
      </c>
      <c r="L19" s="97" t="s">
        <v>29</v>
      </c>
      <c r="M19" s="96">
        <v>0</v>
      </c>
      <c r="N19" s="11">
        <f>IF($B$2=2024,VLOOKUP($J19,'4. Parameters'!B:H,5,0),VLOOKUP($J19,'4. Parameters'!B:O,12,0))</f>
        <v>0</v>
      </c>
      <c r="O19" s="12">
        <f>IF($B$2=2024,VLOOKUP($J19,'4. Parameters'!B:H,6,0),VLOOKUP($J19,'4. Parameters'!B:O,13,0))</f>
        <v>0.20399999999999999</v>
      </c>
      <c r="P19" s="12">
        <f>IF($B$2=2024,VLOOKUP($J19,'4. Parameters'!B:H,7,0),VLOOKUP($J19,'4. Parameters'!B:O,14,0))</f>
        <v>0</v>
      </c>
      <c r="Q19" s="13">
        <f>IF($B$2=2024,VLOOKUP($J19,'4. Parameters'!B:H,3,0),VLOOKUP($J19,'4. Parameters'!B:O,10,0))</f>
        <v>16655</v>
      </c>
      <c r="R19" s="13">
        <f>IF($B$2=2024,VLOOKUP($J19,'4. Parameters'!B:H,4,0),VLOOKUP($J19,'4. Parameters'!B:O,11,0))</f>
        <v>137800</v>
      </c>
      <c r="S19" s="14">
        <f t="shared" si="6"/>
        <v>0</v>
      </c>
      <c r="T19" s="10">
        <f t="shared" ref="T19" si="55">IF(L19="Nee",((H19*O19)*G19)/12,0)*(E19/30)*(100%-M19)</f>
        <v>263.09480646540004</v>
      </c>
      <c r="U19" s="10">
        <f t="shared" si="8"/>
        <v>0</v>
      </c>
      <c r="V19" s="15">
        <f t="shared" si="9"/>
        <v>263.09480646540004</v>
      </c>
      <c r="W19" s="97">
        <v>1</v>
      </c>
      <c r="X19" s="14">
        <f t="shared" si="10"/>
        <v>263.09480646540004</v>
      </c>
      <c r="Y19" s="97"/>
    </row>
    <row r="20" spans="1:25" x14ac:dyDescent="0.3">
      <c r="A20" s="93" t="s">
        <v>204</v>
      </c>
      <c r="B20" s="93">
        <v>913998916</v>
      </c>
      <c r="C20" s="94">
        <v>45658</v>
      </c>
      <c r="D20" s="94">
        <v>45688</v>
      </c>
      <c r="E20" s="93">
        <f t="shared" ref="E20" si="56">DAYS360(C20,D20,0)</f>
        <v>30</v>
      </c>
      <c r="F20" s="95">
        <v>9360</v>
      </c>
      <c r="G20" s="96">
        <v>0.79998000000000002</v>
      </c>
      <c r="H20" s="10">
        <f t="shared" ref="H20" si="57">IF(MIN(F20-Q20,R20-Q20)&lt;0,0,MIN(F20-Q20,R20-Q20))</f>
        <v>0</v>
      </c>
      <c r="I20" s="10">
        <f t="shared" ref="I20" si="58">IF((F20*G20/12)-(Q20/12*G20)&lt;0,0,(F20*G20/12)-(Q20/12*G20))</f>
        <v>0</v>
      </c>
      <c r="J20" s="97">
        <v>4701</v>
      </c>
      <c r="K20" t="str">
        <f>IF($B$2=2024,VLOOKUP($J20,'4. Parameters'!B:I,8,0),VLOOKUP($J20,'4. Parameters'!B:P,15,0))</f>
        <v>F&amp;B</v>
      </c>
      <c r="L20" s="97" t="s">
        <v>29</v>
      </c>
      <c r="M20" s="96">
        <v>0</v>
      </c>
      <c r="N20" s="11">
        <f>IF($B$2=2024,VLOOKUP($J20,'4. Parameters'!B:H,5,0),VLOOKUP($J20,'4. Parameters'!B:O,12,0))</f>
        <v>0</v>
      </c>
      <c r="O20" s="12">
        <f>IF($B$2=2024,VLOOKUP($J20,'4. Parameters'!B:H,6,0),VLOOKUP($J20,'4. Parameters'!B:O,13,0))</f>
        <v>0.20399999999999999</v>
      </c>
      <c r="P20" s="12">
        <f>IF($B$2=2024,VLOOKUP($J20,'4. Parameters'!B:H,7,0),VLOOKUP($J20,'4. Parameters'!B:O,14,0))</f>
        <v>0</v>
      </c>
      <c r="Q20" s="13">
        <f>IF($B$2=2024,VLOOKUP($J20,'4. Parameters'!B:H,3,0),VLOOKUP($J20,'4. Parameters'!B:O,10,0))</f>
        <v>16655</v>
      </c>
      <c r="R20" s="13">
        <f>IF($B$2=2024,VLOOKUP($J20,'4. Parameters'!B:H,4,0),VLOOKUP($J20,'4. Parameters'!B:O,11,0))</f>
        <v>137800</v>
      </c>
      <c r="S20" s="14">
        <f t="shared" ref="S20" si="59">IF(L20="Ja",((H20*N20)*G20)/12,0)*(100%-M20)</f>
        <v>0</v>
      </c>
      <c r="T20" s="10">
        <f t="shared" ref="T20" si="60">IF(L20="Nee",((H20*O20)*G20)/12,0)*(E20/30)*(100%-M20)</f>
        <v>0</v>
      </c>
      <c r="U20" s="10">
        <f t="shared" ref="U20" si="61">IF(L20="Nee",IF(F20&gt;R20,((F20-R20)*P20)/12*G20,0),0)*E20/30*(100%-M20)</f>
        <v>0</v>
      </c>
      <c r="V20" s="15">
        <f t="shared" ref="V20" si="62">IF(L20="Ja",S20,T20+U20)</f>
        <v>0</v>
      </c>
      <c r="W20" s="97">
        <v>1</v>
      </c>
      <c r="X20" s="14">
        <f t="shared" ref="X20" si="63">V20*W20</f>
        <v>0</v>
      </c>
      <c r="Y20" s="97"/>
    </row>
    <row r="21" spans="1:25" x14ac:dyDescent="0.3">
      <c r="A21" s="93" t="s">
        <v>39</v>
      </c>
      <c r="B21" s="93">
        <v>913998916</v>
      </c>
      <c r="C21" s="94">
        <v>45658</v>
      </c>
      <c r="D21" s="94">
        <v>45688</v>
      </c>
      <c r="E21" s="93">
        <f t="shared" si="3"/>
        <v>30</v>
      </c>
      <c r="F21" s="95">
        <v>22200</v>
      </c>
      <c r="G21" s="96">
        <v>0.8</v>
      </c>
      <c r="H21" s="10">
        <f t="shared" si="4"/>
        <v>5545</v>
      </c>
      <c r="I21" s="10">
        <f t="shared" si="5"/>
        <v>369.66666666666652</v>
      </c>
      <c r="J21" s="97">
        <v>4701</v>
      </c>
      <c r="K21" t="str">
        <f>IF($B$2=2024,VLOOKUP($J21,'4. Parameters'!B:I,8,0),VLOOKUP($J21,'4. Parameters'!B:P,15,0))</f>
        <v>F&amp;B</v>
      </c>
      <c r="L21" s="97" t="s">
        <v>29</v>
      </c>
      <c r="M21" s="96">
        <v>0</v>
      </c>
      <c r="N21" s="11">
        <f>IF($B$2=2024,VLOOKUP($J21,'4. Parameters'!B:H,5,0),VLOOKUP($J21,'4. Parameters'!B:O,12,0))</f>
        <v>0</v>
      </c>
      <c r="O21" s="12">
        <f>IF($B$2=2024,VLOOKUP($J21,'4. Parameters'!B:H,6,0),VLOOKUP($J21,'4. Parameters'!B:O,13,0))</f>
        <v>0.20399999999999999</v>
      </c>
      <c r="P21" s="12">
        <f>IF($B$2=2024,VLOOKUP($J21,'4. Parameters'!B:H,7,0),VLOOKUP($J21,'4. Parameters'!B:O,14,0))</f>
        <v>0</v>
      </c>
      <c r="Q21" s="13">
        <f>IF($B$2=2024,VLOOKUP($J21,'4. Parameters'!B:H,3,0),VLOOKUP($J21,'4. Parameters'!B:O,10,0))</f>
        <v>16655</v>
      </c>
      <c r="R21" s="13">
        <f>IF($B$2=2024,VLOOKUP($J21,'4. Parameters'!B:H,4,0),VLOOKUP($J21,'4. Parameters'!B:O,11,0))</f>
        <v>137800</v>
      </c>
      <c r="S21" s="14">
        <f t="shared" si="6"/>
        <v>0</v>
      </c>
      <c r="T21" s="10">
        <f t="shared" ref="T21" si="64">IF(L21="Nee",((H21*O21)*G21)/12,0)*(E21/30)*(100%-M21)</f>
        <v>75.411999999999992</v>
      </c>
      <c r="U21" s="10">
        <f t="shared" si="8"/>
        <v>0</v>
      </c>
      <c r="V21" s="15">
        <f t="shared" si="9"/>
        <v>75.411999999999992</v>
      </c>
      <c r="W21" s="97">
        <v>1</v>
      </c>
      <c r="X21" s="14">
        <f t="shared" si="10"/>
        <v>75.411999999999992</v>
      </c>
      <c r="Y21" s="97"/>
    </row>
  </sheetData>
  <sheetProtection algorithmName="SHA-512" hashValue="6pP+gn44JNw3OfixTpwScvD8aoIyHKLn8FVEdN6unrmEhaMS1P+uLzm3w8t+z4ePNI1PycZ8MrZr4MlSvuRqzw==" saltValue="zHmBD/qt/4bY21i8vwpuUQ==" spinCount="100000" sheet="1" objects="1" scenarios="1"/>
  <autoFilter ref="A5:Y5" xr:uid="{97F89581-422E-4C9F-AF54-3DF201BC9536}"/>
  <phoneticPr fontId="8" type="noConversion"/>
  <dataValidations count="2">
    <dataValidation type="list" allowBlank="1" showInputMessage="1" showErrorMessage="1" sqref="B2" xr:uid="{4660D471-AFC8-4776-BB66-89F9EE4B20DD}">
      <formula1>"2024,2025"</formula1>
    </dataValidation>
    <dataValidation type="list" allowBlank="1" showInputMessage="1" showErrorMessage="1" sqref="L6:L21" xr:uid="{F8C4879A-9ACF-4F98-8108-04823E7C3430}">
      <formula1>"Ja,Nee"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0E2F58-6C42-4088-A421-563369231C76}">
          <x14:formula1>
            <xm:f>'4. Parameters'!$B$2:$B$88</xm:f>
          </x14:formula1>
          <xm:sqref>J6:J21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7E5D3-B170-4F82-B81C-34C6E9044235}">
  <sheetPr codeName="Blad3">
    <tabColor theme="0"/>
  </sheetPr>
  <dimension ref="A1:P26"/>
  <sheetViews>
    <sheetView workbookViewId="0">
      <pane ySplit="1" topLeftCell="A2" activePane="bottomLeft" state="frozen"/>
      <selection pane="bottomLeft" activeCell="C25" sqref="C25"/>
    </sheetView>
  </sheetViews>
  <sheetFormatPr defaultRowHeight="14.4" x14ac:dyDescent="0.3"/>
  <cols>
    <col min="1" max="1" width="24.44140625" bestFit="1" customWidth="1"/>
    <col min="2" max="2" width="18.88671875" customWidth="1"/>
    <col min="3" max="3" width="24.44140625" bestFit="1" customWidth="1"/>
    <col min="4" max="9" width="18.88671875" customWidth="1"/>
    <col min="10" max="10" width="11.88671875" customWidth="1"/>
    <col min="11" max="11" width="17.44140625" customWidth="1"/>
    <col min="12" max="12" width="20" bestFit="1" customWidth="1"/>
    <col min="13" max="13" width="19.6640625" bestFit="1" customWidth="1"/>
    <col min="14" max="14" width="18.5546875" bestFit="1" customWidth="1"/>
    <col min="15" max="15" width="9" bestFit="1" customWidth="1"/>
    <col min="16" max="16" width="16.44140625" bestFit="1" customWidth="1"/>
  </cols>
  <sheetData>
    <row r="1" spans="1:16" ht="15.6" x14ac:dyDescent="0.3">
      <c r="A1" s="1" t="s">
        <v>82</v>
      </c>
      <c r="B1" s="2" t="s">
        <v>83</v>
      </c>
      <c r="C1" s="2" t="s">
        <v>84</v>
      </c>
      <c r="D1" s="3" t="s">
        <v>85</v>
      </c>
      <c r="E1" s="4" t="s">
        <v>20</v>
      </c>
      <c r="F1" s="4" t="s">
        <v>16</v>
      </c>
      <c r="G1" s="4" t="s">
        <v>17</v>
      </c>
      <c r="H1" s="4" t="s">
        <v>18</v>
      </c>
      <c r="I1" s="4" t="s">
        <v>13</v>
      </c>
      <c r="K1" s="3" t="s">
        <v>86</v>
      </c>
      <c r="L1" s="4" t="s">
        <v>20</v>
      </c>
      <c r="M1" s="4" t="s">
        <v>16</v>
      </c>
      <c r="N1" s="4" t="s">
        <v>17</v>
      </c>
      <c r="O1" s="4" t="s">
        <v>18</v>
      </c>
      <c r="P1" s="4" t="s">
        <v>13</v>
      </c>
    </row>
    <row r="2" spans="1:16" x14ac:dyDescent="0.3">
      <c r="A2" s="5" t="s">
        <v>87</v>
      </c>
      <c r="B2" s="5">
        <v>4400</v>
      </c>
      <c r="C2" s="5" t="s">
        <v>88</v>
      </c>
      <c r="D2" s="16">
        <v>17545</v>
      </c>
      <c r="E2" s="16">
        <v>137800</v>
      </c>
      <c r="F2" s="6">
        <v>1.4E-2</v>
      </c>
      <c r="G2" s="6">
        <v>0.25</v>
      </c>
      <c r="H2" s="6">
        <v>2.3E-2</v>
      </c>
      <c r="I2" t="s">
        <v>89</v>
      </c>
      <c r="K2" s="16">
        <v>18475</v>
      </c>
      <c r="L2" s="16">
        <v>137800</v>
      </c>
      <c r="M2" s="6">
        <v>1.4E-2</v>
      </c>
      <c r="N2" s="6">
        <v>0.246</v>
      </c>
      <c r="O2" s="6">
        <v>2.3E-2</v>
      </c>
      <c r="P2" t="s">
        <v>89</v>
      </c>
    </row>
    <row r="3" spans="1:16" x14ac:dyDescent="0.3">
      <c r="A3" s="7" t="s">
        <v>90</v>
      </c>
      <c r="B3" s="7">
        <v>5340</v>
      </c>
      <c r="C3" s="7" t="s">
        <v>91</v>
      </c>
      <c r="D3" s="16">
        <v>17545</v>
      </c>
      <c r="E3" s="16">
        <v>137800</v>
      </c>
      <c r="F3" s="6">
        <v>1.4E-2</v>
      </c>
      <c r="G3" s="6">
        <v>0.27800000000000002</v>
      </c>
      <c r="H3" s="6">
        <v>2.3E-2</v>
      </c>
      <c r="I3" t="s">
        <v>89</v>
      </c>
      <c r="K3" s="16">
        <v>18475</v>
      </c>
      <c r="L3" s="16">
        <v>137800</v>
      </c>
      <c r="M3" s="6">
        <v>1.4E-2</v>
      </c>
      <c r="N3" s="6">
        <v>0.246</v>
      </c>
      <c r="O3" s="6">
        <v>2.3E-2</v>
      </c>
      <c r="P3" t="s">
        <v>89</v>
      </c>
    </row>
    <row r="4" spans="1:16" x14ac:dyDescent="0.3">
      <c r="A4" s="5" t="s">
        <v>90</v>
      </c>
      <c r="B4" s="5">
        <v>5341</v>
      </c>
      <c r="C4" s="7" t="s">
        <v>92</v>
      </c>
      <c r="D4" s="16">
        <v>23073</v>
      </c>
      <c r="E4" s="16">
        <v>137800</v>
      </c>
      <c r="F4" s="6">
        <v>2.9000000000000001E-2</v>
      </c>
      <c r="G4" s="6">
        <v>0.21099999999999999</v>
      </c>
      <c r="H4" s="6">
        <v>2.3E-2</v>
      </c>
      <c r="I4" t="s">
        <v>93</v>
      </c>
      <c r="K4" s="16">
        <v>24446</v>
      </c>
      <c r="L4" s="16">
        <v>137800</v>
      </c>
      <c r="M4" s="6">
        <v>2.9000000000000001E-2</v>
      </c>
      <c r="N4" s="6">
        <v>0.214</v>
      </c>
      <c r="O4" s="6">
        <v>2.3E-2</v>
      </c>
      <c r="P4" t="s">
        <v>93</v>
      </c>
    </row>
    <row r="5" spans="1:16" x14ac:dyDescent="0.3">
      <c r="A5" s="7" t="s">
        <v>94</v>
      </c>
      <c r="B5" s="7">
        <v>4700</v>
      </c>
      <c r="C5" s="7" t="s">
        <v>95</v>
      </c>
      <c r="D5" s="16">
        <v>17545</v>
      </c>
      <c r="E5" s="16">
        <v>137800</v>
      </c>
      <c r="F5" s="6">
        <v>1.4E-2</v>
      </c>
      <c r="G5" s="6">
        <v>0.25</v>
      </c>
      <c r="H5" s="6">
        <v>2.3E-2</v>
      </c>
      <c r="I5" t="s">
        <v>89</v>
      </c>
      <c r="K5" s="16">
        <v>18475</v>
      </c>
      <c r="L5" s="16">
        <v>137800</v>
      </c>
      <c r="M5" s="6">
        <v>1.4E-2</v>
      </c>
      <c r="N5" s="6">
        <v>0.246</v>
      </c>
      <c r="O5" s="6">
        <v>2.3E-2</v>
      </c>
      <c r="P5" t="s">
        <v>89</v>
      </c>
    </row>
    <row r="6" spans="1:16" x14ac:dyDescent="0.3">
      <c r="A6" s="5" t="s">
        <v>96</v>
      </c>
      <c r="B6" s="5">
        <v>4701</v>
      </c>
      <c r="C6" s="7" t="s">
        <v>97</v>
      </c>
      <c r="D6" s="16">
        <v>15816</v>
      </c>
      <c r="E6" s="16">
        <v>137800</v>
      </c>
      <c r="F6" s="6">
        <v>0</v>
      </c>
      <c r="G6" s="6">
        <v>0.21099999999999999</v>
      </c>
      <c r="H6" s="6">
        <v>0</v>
      </c>
      <c r="I6" t="s">
        <v>98</v>
      </c>
      <c r="K6" s="16">
        <v>16655</v>
      </c>
      <c r="L6" s="16">
        <v>137800</v>
      </c>
      <c r="M6" s="6">
        <v>0</v>
      </c>
      <c r="N6" s="6">
        <v>0.20399999999999999</v>
      </c>
      <c r="O6" s="6">
        <v>0</v>
      </c>
      <c r="P6" t="s">
        <v>98</v>
      </c>
    </row>
    <row r="7" spans="1:16" x14ac:dyDescent="0.3">
      <c r="A7" s="7" t="s">
        <v>99</v>
      </c>
      <c r="B7" s="7">
        <v>5100</v>
      </c>
      <c r="C7" s="7" t="s">
        <v>100</v>
      </c>
      <c r="D7" s="16">
        <v>17545</v>
      </c>
      <c r="E7" s="16">
        <v>137800</v>
      </c>
      <c r="F7" s="6">
        <v>1.4E-2</v>
      </c>
      <c r="G7" s="6">
        <v>0.25</v>
      </c>
      <c r="H7" s="6">
        <v>2.3E-2</v>
      </c>
      <c r="I7" t="s">
        <v>89</v>
      </c>
      <c r="K7" s="16">
        <v>18475</v>
      </c>
      <c r="L7" s="16">
        <v>137800</v>
      </c>
      <c r="M7" s="6">
        <v>1.4E-2</v>
      </c>
      <c r="N7" s="6">
        <v>0.246</v>
      </c>
      <c r="O7" s="6">
        <v>2.3E-2</v>
      </c>
      <c r="P7" t="s">
        <v>89</v>
      </c>
    </row>
    <row r="8" spans="1:16" x14ac:dyDescent="0.3">
      <c r="A8" s="5" t="s">
        <v>101</v>
      </c>
      <c r="B8" s="5">
        <v>5101</v>
      </c>
      <c r="C8" s="7" t="s">
        <v>102</v>
      </c>
      <c r="D8" s="16">
        <v>18798</v>
      </c>
      <c r="E8" s="16">
        <v>137800</v>
      </c>
      <c r="F8" s="6">
        <v>2.4E-2</v>
      </c>
      <c r="G8" s="6">
        <v>0.20599999999999999</v>
      </c>
      <c r="H8" s="6">
        <v>2.3E-2</v>
      </c>
      <c r="I8" t="s">
        <v>103</v>
      </c>
      <c r="K8" s="16">
        <v>19795</v>
      </c>
      <c r="L8" s="16">
        <v>137800</v>
      </c>
      <c r="M8" s="6">
        <v>2.4E-2</v>
      </c>
      <c r="N8" s="6">
        <v>0.20499999999999999</v>
      </c>
      <c r="O8" s="6">
        <v>2.3E-2</v>
      </c>
      <c r="P8" t="s">
        <v>103</v>
      </c>
    </row>
    <row r="9" spans="1:16" x14ac:dyDescent="0.3">
      <c r="A9" s="7" t="s">
        <v>104</v>
      </c>
      <c r="B9" s="7">
        <v>5102</v>
      </c>
      <c r="C9" s="7" t="s">
        <v>105</v>
      </c>
      <c r="D9" s="16">
        <v>15816</v>
      </c>
      <c r="E9" s="16">
        <v>137800</v>
      </c>
      <c r="F9" s="6">
        <v>0</v>
      </c>
      <c r="G9" s="6">
        <v>0.21099999999999999</v>
      </c>
      <c r="H9" s="6">
        <v>0</v>
      </c>
      <c r="I9" t="s">
        <v>98</v>
      </c>
      <c r="K9" s="16">
        <v>16655</v>
      </c>
      <c r="L9" s="16">
        <v>137800</v>
      </c>
      <c r="M9" s="6">
        <v>0</v>
      </c>
      <c r="N9" s="6">
        <v>0.20399999999999999</v>
      </c>
      <c r="O9" s="6">
        <v>0</v>
      </c>
      <c r="P9" t="s">
        <v>98</v>
      </c>
    </row>
    <row r="10" spans="1:16" x14ac:dyDescent="0.3">
      <c r="A10" s="5" t="s">
        <v>106</v>
      </c>
      <c r="B10" s="5">
        <v>5300</v>
      </c>
      <c r="C10" s="7" t="s">
        <v>107</v>
      </c>
      <c r="D10" s="16">
        <v>15816</v>
      </c>
      <c r="E10" s="16">
        <v>137800</v>
      </c>
      <c r="F10" s="6">
        <v>0</v>
      </c>
      <c r="G10" s="6">
        <v>0.21099999999999999</v>
      </c>
      <c r="H10" s="6">
        <v>0</v>
      </c>
      <c r="I10" t="s">
        <v>98</v>
      </c>
      <c r="K10" s="16">
        <v>16655</v>
      </c>
      <c r="L10" s="16">
        <v>137800</v>
      </c>
      <c r="M10" s="6">
        <v>0</v>
      </c>
      <c r="N10" s="6">
        <v>0.20399999999999999</v>
      </c>
      <c r="O10" s="6">
        <v>0</v>
      </c>
      <c r="P10" t="s">
        <v>98</v>
      </c>
    </row>
    <row r="11" spans="1:16" x14ac:dyDescent="0.3">
      <c r="A11" s="7" t="s">
        <v>108</v>
      </c>
      <c r="B11" s="7">
        <v>5301</v>
      </c>
      <c r="C11" s="7" t="s">
        <v>109</v>
      </c>
      <c r="D11" s="16">
        <v>15816</v>
      </c>
      <c r="E11" s="16">
        <v>137800</v>
      </c>
      <c r="F11" s="6">
        <v>0</v>
      </c>
      <c r="G11" s="6">
        <v>0.21099999999999999</v>
      </c>
      <c r="H11" s="6">
        <v>0</v>
      </c>
      <c r="I11" t="s">
        <v>98</v>
      </c>
      <c r="K11" s="16">
        <v>16655</v>
      </c>
      <c r="L11" s="16">
        <v>137800</v>
      </c>
      <c r="M11" s="6">
        <v>0</v>
      </c>
      <c r="N11" s="6">
        <v>0.20399999999999999</v>
      </c>
      <c r="O11" s="6">
        <v>0</v>
      </c>
      <c r="P11" t="s">
        <v>98</v>
      </c>
    </row>
    <row r="12" spans="1:16" x14ac:dyDescent="0.3">
      <c r="A12" s="5" t="s">
        <v>110</v>
      </c>
      <c r="B12" s="5">
        <v>5306</v>
      </c>
      <c r="C12" s="7" t="s">
        <v>111</v>
      </c>
      <c r="D12" s="16">
        <v>17545</v>
      </c>
      <c r="E12" s="16">
        <v>137800</v>
      </c>
      <c r="F12" s="6">
        <v>1.4E-2</v>
      </c>
      <c r="G12" s="6">
        <v>0.25</v>
      </c>
      <c r="H12" s="6">
        <v>2.3E-2</v>
      </c>
      <c r="I12" t="s">
        <v>89</v>
      </c>
      <c r="K12" s="16">
        <v>18475</v>
      </c>
      <c r="L12" s="16">
        <v>137800</v>
      </c>
      <c r="M12" s="6">
        <v>1.4E-2</v>
      </c>
      <c r="N12" s="6">
        <v>0.246</v>
      </c>
      <c r="O12" s="6">
        <v>2.3E-2</v>
      </c>
      <c r="P12" t="s">
        <v>89</v>
      </c>
    </row>
    <row r="13" spans="1:16" x14ac:dyDescent="0.3">
      <c r="A13" s="7" t="s">
        <v>112</v>
      </c>
      <c r="B13" s="7">
        <v>5307</v>
      </c>
      <c r="C13" s="7" t="s">
        <v>113</v>
      </c>
      <c r="D13" s="16">
        <v>17545</v>
      </c>
      <c r="E13" s="16">
        <v>137800</v>
      </c>
      <c r="F13" s="6">
        <v>1.4E-2</v>
      </c>
      <c r="G13" s="6">
        <v>0.25</v>
      </c>
      <c r="H13" s="6">
        <v>2.3E-2</v>
      </c>
      <c r="I13" t="s">
        <v>89</v>
      </c>
      <c r="K13" s="16">
        <v>18475</v>
      </c>
      <c r="L13" s="16">
        <v>137800</v>
      </c>
      <c r="M13" s="6">
        <v>1.4E-2</v>
      </c>
      <c r="N13" s="6">
        <v>0.246</v>
      </c>
      <c r="O13" s="6">
        <v>2.3E-2</v>
      </c>
      <c r="P13" t="s">
        <v>89</v>
      </c>
    </row>
    <row r="14" spans="1:16" x14ac:dyDescent="0.3">
      <c r="A14" s="5" t="s">
        <v>114</v>
      </c>
      <c r="B14" s="5">
        <v>5308</v>
      </c>
      <c r="C14" s="7" t="s">
        <v>115</v>
      </c>
      <c r="D14" s="16">
        <v>15816</v>
      </c>
      <c r="E14" s="16">
        <v>137800</v>
      </c>
      <c r="F14" s="6">
        <v>0</v>
      </c>
      <c r="G14" s="6">
        <v>0.21099999999999999</v>
      </c>
      <c r="H14" s="6">
        <v>0</v>
      </c>
      <c r="I14" t="s">
        <v>98</v>
      </c>
      <c r="K14" s="16">
        <v>16655</v>
      </c>
      <c r="L14" s="16">
        <v>137800</v>
      </c>
      <c r="M14" s="6">
        <v>0</v>
      </c>
      <c r="N14" s="6">
        <v>0.20399999999999999</v>
      </c>
      <c r="O14" s="6">
        <v>0</v>
      </c>
      <c r="P14" t="s">
        <v>98</v>
      </c>
    </row>
    <row r="15" spans="1:16" x14ac:dyDescent="0.3">
      <c r="A15" s="7" t="s">
        <v>116</v>
      </c>
      <c r="B15" s="7">
        <v>5309</v>
      </c>
      <c r="C15" s="7" t="s">
        <v>117</v>
      </c>
      <c r="D15" s="16">
        <v>15816</v>
      </c>
      <c r="E15" s="16">
        <v>137800</v>
      </c>
      <c r="F15" s="6">
        <v>0</v>
      </c>
      <c r="G15" s="6">
        <v>0.21099999999999999</v>
      </c>
      <c r="H15" s="6">
        <v>0</v>
      </c>
      <c r="I15" t="s">
        <v>98</v>
      </c>
      <c r="K15" s="16">
        <v>16655</v>
      </c>
      <c r="L15" s="16">
        <v>137800</v>
      </c>
      <c r="M15" s="6">
        <v>0</v>
      </c>
      <c r="N15" s="6">
        <v>0.20399999999999999</v>
      </c>
      <c r="O15" s="6">
        <v>0</v>
      </c>
      <c r="P15" t="s">
        <v>98</v>
      </c>
    </row>
    <row r="16" spans="1:16" x14ac:dyDescent="0.3">
      <c r="A16" s="5" t="s">
        <v>118</v>
      </c>
      <c r="B16" s="5">
        <v>5310</v>
      </c>
      <c r="C16" s="7" t="s">
        <v>119</v>
      </c>
      <c r="D16" s="16">
        <v>15816</v>
      </c>
      <c r="E16" s="16">
        <v>137800</v>
      </c>
      <c r="F16" s="6">
        <v>0</v>
      </c>
      <c r="G16" s="6">
        <v>0.21099999999999999</v>
      </c>
      <c r="H16" s="6">
        <v>0</v>
      </c>
      <c r="I16" t="s">
        <v>98</v>
      </c>
      <c r="K16" s="16">
        <v>16655</v>
      </c>
      <c r="L16" s="16">
        <v>137800</v>
      </c>
      <c r="M16" s="6">
        <v>0</v>
      </c>
      <c r="N16" s="6">
        <v>0.20399999999999999</v>
      </c>
      <c r="O16" s="6">
        <v>0</v>
      </c>
      <c r="P16" t="s">
        <v>98</v>
      </c>
    </row>
    <row r="17" spans="1:16" x14ac:dyDescent="0.3">
      <c r="A17" s="7" t="s">
        <v>120</v>
      </c>
      <c r="B17" s="7">
        <v>5320</v>
      </c>
      <c r="C17" s="7" t="s">
        <v>121</v>
      </c>
      <c r="D17" s="16">
        <v>17545</v>
      </c>
      <c r="E17" s="16">
        <v>137800</v>
      </c>
      <c r="F17" s="6">
        <v>1.4E-2</v>
      </c>
      <c r="G17" s="6">
        <v>0.25</v>
      </c>
      <c r="H17" s="6">
        <v>2.3E-2</v>
      </c>
      <c r="I17" t="s">
        <v>89</v>
      </c>
      <c r="K17" s="16">
        <v>18475</v>
      </c>
      <c r="L17" s="16">
        <v>137800</v>
      </c>
      <c r="M17" s="6">
        <v>1.4E-2</v>
      </c>
      <c r="N17" s="6">
        <v>0.246</v>
      </c>
      <c r="O17" s="6">
        <v>2.3E-2</v>
      </c>
      <c r="P17" t="s">
        <v>89</v>
      </c>
    </row>
    <row r="18" spans="1:16" x14ac:dyDescent="0.3">
      <c r="A18" s="5" t="s">
        <v>120</v>
      </c>
      <c r="B18" s="5">
        <v>5321</v>
      </c>
      <c r="C18" s="7" t="s">
        <v>122</v>
      </c>
      <c r="D18" s="16">
        <v>18798</v>
      </c>
      <c r="E18" s="16">
        <v>137800</v>
      </c>
      <c r="F18" s="6">
        <v>2.4E-2</v>
      </c>
      <c r="G18" s="6">
        <v>0.20599999999999999</v>
      </c>
      <c r="H18" s="6">
        <v>2.3E-2</v>
      </c>
      <c r="I18" t="s">
        <v>103</v>
      </c>
      <c r="K18" s="16">
        <v>19795</v>
      </c>
      <c r="L18" s="16">
        <v>137800</v>
      </c>
      <c r="M18" s="6">
        <v>2.4E-2</v>
      </c>
      <c r="N18" s="6">
        <v>0.20499999999999999</v>
      </c>
      <c r="O18" s="6">
        <v>2.3E-2</v>
      </c>
      <c r="P18" t="s">
        <v>103</v>
      </c>
    </row>
    <row r="19" spans="1:16" x14ac:dyDescent="0.3">
      <c r="A19" s="7" t="s">
        <v>123</v>
      </c>
      <c r="B19" s="7">
        <v>5330</v>
      </c>
      <c r="C19" s="7" t="s">
        <v>124</v>
      </c>
      <c r="D19" s="16">
        <v>18798</v>
      </c>
      <c r="E19" s="16">
        <v>137800</v>
      </c>
      <c r="F19" s="6">
        <v>2.4E-2</v>
      </c>
      <c r="G19" s="6">
        <v>0.20599999999999999</v>
      </c>
      <c r="H19" s="6">
        <v>2.3E-2</v>
      </c>
      <c r="I19" t="s">
        <v>103</v>
      </c>
      <c r="K19" s="16">
        <v>19795</v>
      </c>
      <c r="L19" s="16">
        <v>137800</v>
      </c>
      <c r="M19" s="6">
        <v>2.4E-2</v>
      </c>
      <c r="N19" s="6">
        <v>0.20499999999999999</v>
      </c>
      <c r="O19" s="6">
        <v>2.3E-2</v>
      </c>
      <c r="P19" t="s">
        <v>103</v>
      </c>
    </row>
    <row r="20" spans="1:16" x14ac:dyDescent="0.3">
      <c r="A20" s="5" t="s">
        <v>123</v>
      </c>
      <c r="B20" s="5">
        <v>5331</v>
      </c>
      <c r="C20" s="7" t="s">
        <v>125</v>
      </c>
      <c r="D20" s="16">
        <v>17545</v>
      </c>
      <c r="E20" s="16">
        <v>137800</v>
      </c>
      <c r="F20" s="6">
        <v>1.4E-2</v>
      </c>
      <c r="G20" s="6">
        <v>0.25</v>
      </c>
      <c r="H20" s="6">
        <v>2.3E-2</v>
      </c>
      <c r="I20" t="s">
        <v>89</v>
      </c>
      <c r="K20" s="16">
        <v>18475</v>
      </c>
      <c r="L20" s="16">
        <v>137800</v>
      </c>
      <c r="M20" s="6">
        <v>1.4E-2</v>
      </c>
      <c r="N20" s="6">
        <v>0.246</v>
      </c>
      <c r="O20" s="6">
        <v>2.3E-2</v>
      </c>
      <c r="P20" t="s">
        <v>89</v>
      </c>
    </row>
    <row r="21" spans="1:16" x14ac:dyDescent="0.3">
      <c r="A21" s="7" t="s">
        <v>126</v>
      </c>
      <c r="B21" s="7">
        <v>5302</v>
      </c>
      <c r="C21" s="7" t="s">
        <v>127</v>
      </c>
      <c r="D21" s="16">
        <v>17545</v>
      </c>
      <c r="E21" s="16">
        <v>137800</v>
      </c>
      <c r="F21" s="6">
        <v>1.4E-2</v>
      </c>
      <c r="G21" s="6">
        <v>0.25</v>
      </c>
      <c r="H21" s="6">
        <v>2.3E-2</v>
      </c>
      <c r="I21" t="s">
        <v>89</v>
      </c>
      <c r="K21" s="16">
        <v>18475</v>
      </c>
      <c r="L21" s="16">
        <v>137800</v>
      </c>
      <c r="M21" s="6">
        <v>1.4E-2</v>
      </c>
      <c r="N21" s="6">
        <v>0.246</v>
      </c>
      <c r="O21" s="6">
        <v>2.3E-2</v>
      </c>
      <c r="P21" t="s">
        <v>89</v>
      </c>
    </row>
    <row r="22" spans="1:16" x14ac:dyDescent="0.3">
      <c r="A22" s="5" t="s">
        <v>128</v>
      </c>
      <c r="B22" s="5">
        <v>5303</v>
      </c>
      <c r="C22" s="7" t="s">
        <v>129</v>
      </c>
      <c r="D22" s="16">
        <v>17545</v>
      </c>
      <c r="E22" s="16">
        <v>137800</v>
      </c>
      <c r="F22" s="6">
        <v>1.4E-2</v>
      </c>
      <c r="G22" s="6">
        <v>0.25</v>
      </c>
      <c r="H22" s="6">
        <v>2.3E-2</v>
      </c>
      <c r="I22" t="s">
        <v>89</v>
      </c>
      <c r="K22" s="16">
        <v>18475</v>
      </c>
      <c r="L22" s="16">
        <v>137800</v>
      </c>
      <c r="M22" s="6">
        <v>1.4E-2</v>
      </c>
      <c r="N22" s="6">
        <v>0.246</v>
      </c>
      <c r="O22" s="6">
        <v>2.3E-2</v>
      </c>
      <c r="P22" t="s">
        <v>89</v>
      </c>
    </row>
    <row r="23" spans="1:16" x14ac:dyDescent="0.3">
      <c r="A23" s="7" t="s">
        <v>130</v>
      </c>
      <c r="B23" s="7">
        <v>5304</v>
      </c>
      <c r="C23" s="7" t="s">
        <v>131</v>
      </c>
      <c r="D23" s="16">
        <v>17545</v>
      </c>
      <c r="E23" s="16">
        <v>137800</v>
      </c>
      <c r="F23" s="6">
        <v>0</v>
      </c>
      <c r="G23" s="6">
        <v>0.21099999999999999</v>
      </c>
      <c r="H23" s="6">
        <v>0</v>
      </c>
      <c r="I23" t="s">
        <v>98</v>
      </c>
      <c r="K23" s="16">
        <v>16655</v>
      </c>
      <c r="L23" s="16">
        <v>137800</v>
      </c>
      <c r="M23" s="6">
        <v>0</v>
      </c>
      <c r="N23" s="6">
        <v>0.20399999999999999</v>
      </c>
      <c r="O23" s="6">
        <v>0</v>
      </c>
      <c r="P23" t="s">
        <v>98</v>
      </c>
    </row>
    <row r="24" spans="1:16" x14ac:dyDescent="0.3">
      <c r="A24" s="5" t="s">
        <v>132</v>
      </c>
      <c r="B24" s="5">
        <v>5305</v>
      </c>
      <c r="C24" s="7" t="s">
        <v>133</v>
      </c>
      <c r="D24" s="16">
        <v>17545</v>
      </c>
      <c r="E24" s="16">
        <v>137800</v>
      </c>
      <c r="F24" s="6">
        <v>0</v>
      </c>
      <c r="G24" s="6">
        <v>0.21099999999999999</v>
      </c>
      <c r="H24" s="6">
        <v>0</v>
      </c>
      <c r="I24" t="s">
        <v>98</v>
      </c>
      <c r="K24" s="16">
        <v>16655</v>
      </c>
      <c r="L24" s="16">
        <v>137800</v>
      </c>
      <c r="M24" s="6">
        <v>0</v>
      </c>
      <c r="N24" s="6">
        <v>0.20399999999999999</v>
      </c>
      <c r="O24" s="6">
        <v>0</v>
      </c>
      <c r="P24" t="s">
        <v>98</v>
      </c>
    </row>
    <row r="25" spans="1:16" x14ac:dyDescent="0.3">
      <c r="B25">
        <v>999999</v>
      </c>
      <c r="C25" s="7" t="s">
        <v>134</v>
      </c>
      <c r="D25" s="16">
        <v>21834</v>
      </c>
      <c r="E25" s="16">
        <v>137800</v>
      </c>
      <c r="F25" s="6">
        <v>0.24199999999999999</v>
      </c>
      <c r="G25" s="6">
        <v>0.24199999999999999</v>
      </c>
      <c r="H25" s="6">
        <v>0</v>
      </c>
      <c r="I25" t="s">
        <v>135</v>
      </c>
      <c r="K25" s="16">
        <v>22992</v>
      </c>
      <c r="L25" s="16">
        <v>137800</v>
      </c>
      <c r="M25" s="6">
        <v>0.24199999999999999</v>
      </c>
      <c r="N25" s="6">
        <v>0.24199999999999999</v>
      </c>
      <c r="O25" s="6">
        <v>0</v>
      </c>
      <c r="P25" t="s">
        <v>136</v>
      </c>
    </row>
    <row r="26" spans="1:16" x14ac:dyDescent="0.3">
      <c r="A26" s="5" t="s">
        <v>174</v>
      </c>
      <c r="B26" s="5" t="s">
        <v>174</v>
      </c>
      <c r="C26" s="7" t="s">
        <v>212</v>
      </c>
      <c r="D26" s="16"/>
      <c r="E26" s="16"/>
      <c r="F26" s="6"/>
      <c r="G26" s="6"/>
      <c r="H26" s="6"/>
      <c r="I26" t="s">
        <v>168</v>
      </c>
      <c r="K26" s="16">
        <v>18798</v>
      </c>
      <c r="L26" s="16">
        <v>137800</v>
      </c>
      <c r="M26" s="6">
        <v>0.20599999999999999</v>
      </c>
      <c r="N26" s="6">
        <v>0.20599999999999999</v>
      </c>
      <c r="O26" s="6">
        <v>0</v>
      </c>
      <c r="P26" t="s">
        <v>168</v>
      </c>
    </row>
  </sheetData>
  <autoFilter ref="A1:P25" xr:uid="{56F7E5D3-B170-4F82-B81C-34C6E9044235}"/>
  <phoneticPr fontId="8"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8A7A-6558-4BA7-8013-8B657DF666FC}">
  <dimension ref="A1:B10"/>
  <sheetViews>
    <sheetView workbookViewId="0">
      <selection activeCell="M23" sqref="M23:M24"/>
    </sheetView>
  </sheetViews>
  <sheetFormatPr defaultRowHeight="14.4" x14ac:dyDescent="0.3"/>
  <sheetData>
    <row r="1" spans="1:2" x14ac:dyDescent="0.3">
      <c r="A1" s="4" t="s">
        <v>137</v>
      </c>
      <c r="B1" s="4" t="s">
        <v>138</v>
      </c>
    </row>
    <row r="2" spans="1:2" x14ac:dyDescent="0.3">
      <c r="A2" t="s">
        <v>139</v>
      </c>
      <c r="B2" t="s">
        <v>140</v>
      </c>
    </row>
    <row r="3" spans="1:2" x14ac:dyDescent="0.3">
      <c r="A3" t="s">
        <v>141</v>
      </c>
      <c r="B3" t="s">
        <v>142</v>
      </c>
    </row>
    <row r="4" spans="1:2" x14ac:dyDescent="0.3">
      <c r="A4" t="s">
        <v>143</v>
      </c>
      <c r="B4" t="s">
        <v>144</v>
      </c>
    </row>
    <row r="5" spans="1:2" x14ac:dyDescent="0.3">
      <c r="A5" t="s">
        <v>145</v>
      </c>
      <c r="B5" t="s">
        <v>146</v>
      </c>
    </row>
    <row r="6" spans="1:2" x14ac:dyDescent="0.3">
      <c r="A6" t="s">
        <v>147</v>
      </c>
      <c r="B6" t="s">
        <v>148</v>
      </c>
    </row>
    <row r="7" spans="1:2" x14ac:dyDescent="0.3">
      <c r="A7" t="s">
        <v>149</v>
      </c>
      <c r="B7" t="s">
        <v>150</v>
      </c>
    </row>
    <row r="8" spans="1:2" x14ac:dyDescent="0.3">
      <c r="A8" t="s">
        <v>151</v>
      </c>
      <c r="B8" t="s">
        <v>152</v>
      </c>
    </row>
    <row r="9" spans="1:2" x14ac:dyDescent="0.3">
      <c r="A9" t="s">
        <v>153</v>
      </c>
      <c r="B9" t="s">
        <v>154</v>
      </c>
    </row>
    <row r="10" spans="1:2" x14ac:dyDescent="0.3">
      <c r="A10" t="s">
        <v>155</v>
      </c>
      <c r="B10" t="s">
        <v>156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FE475D0718114FB2E9B53627B4F2B9" ma:contentTypeVersion="5" ma:contentTypeDescription="Een nieuw document maken." ma:contentTypeScope="" ma:versionID="9c8f92cf397f9f74d8ee6d08ad0f567a">
  <xsd:schema xmlns:xsd="http://www.w3.org/2001/XMLSchema" xmlns:xs="http://www.w3.org/2001/XMLSchema" xmlns:p="http://schemas.microsoft.com/office/2006/metadata/properties" xmlns:ns1="http://schemas.microsoft.com/sharepoint/v3" xmlns:ns2="2eb54c7d-fd57-4886-a7f4-55c5cecaa271" targetNamespace="http://schemas.microsoft.com/office/2006/metadata/properties" ma:root="true" ma:fieldsID="329f9058fdd5a5f3829da14e21d2a4b0" ns1:_="" ns2:_="">
    <xsd:import namespace="http://schemas.microsoft.com/sharepoint/v3"/>
    <xsd:import namespace="2eb54c7d-fd57-4886-a7f4-55c5cecaa2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Eigenschappen van het geïntegreerd beleid voor naleving" ma:hidden="true" ma:internalName="_ip_UnifiedCompliancePolicyProperties">
      <xsd:simpleType>
        <xsd:restriction base="dms:Note"/>
      </xsd:simpleType>
    </xsd:element>
    <xsd:element name="_ip_UnifiedCompliancePolicyUIAction" ma:index="12"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b54c7d-fd57-4886-a7f4-55c5cecaa2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DE8745-BEAB-4019-AD21-D72A5CC87E6B}">
  <ds:schemaRefs>
    <ds:schemaRef ds:uri="http://schemas.microsoft.com/sharepoint/v3/contenttype/forms"/>
  </ds:schemaRefs>
</ds:datastoreItem>
</file>

<file path=customXml/itemProps2.xml><?xml version="1.0" encoding="utf-8"?>
<ds:datastoreItem xmlns:ds="http://schemas.openxmlformats.org/officeDocument/2006/customXml" ds:itemID="{182DE3A9-1060-430E-BCB2-DA0147BB04D0}">
  <ds:schemaRefs>
    <ds:schemaRef ds:uri="http://www.w3.org/XML/1998/namespac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microsoft.com/sharepoint/v3"/>
    <ds:schemaRef ds:uri="http://purl.org/dc/terms/"/>
    <ds:schemaRef ds:uri="2eb54c7d-fd57-4886-a7f4-55c5cecaa271"/>
    <ds:schemaRef ds:uri="http://purl.org/dc/dcmitype/"/>
  </ds:schemaRefs>
</ds:datastoreItem>
</file>

<file path=customXml/itemProps3.xml><?xml version="1.0" encoding="utf-8"?>
<ds:datastoreItem xmlns:ds="http://schemas.openxmlformats.org/officeDocument/2006/customXml" ds:itemID="{AF559850-4C5A-4855-8754-4C6B16B39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b54c7d-fd57-4886-a7f4-55c5cecaa2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e3690ce-603a-4773-8976-b45fb06f79d1}" enabled="1" method="Privileged" siteId="{529945b8-6c9b-4192-b37c-598c096ad25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2</vt:i4>
      </vt:variant>
    </vt:vector>
  </HeadingPairs>
  <TitlesOfParts>
    <vt:vector size="10" baseType="lpstr">
      <vt:lpstr>Versiebeheer</vt:lpstr>
      <vt:lpstr>TOELICHTING</vt:lpstr>
      <vt:lpstr>1. Premie berekenen</vt:lpstr>
      <vt:lpstr>2. Verlof voorbeelden</vt:lpstr>
      <vt:lpstr>2.1 Verlof premie</vt:lpstr>
      <vt:lpstr>3. Nota (deel Testgroep)</vt:lpstr>
      <vt:lpstr>4. Parameters</vt:lpstr>
      <vt:lpstr>Verlofsoorten</vt:lpstr>
      <vt:lpstr>Paramaters_2025</vt:lpstr>
      <vt:lpstr>WerkgeversNummer</vt:lpstr>
    </vt:vector>
  </TitlesOfParts>
  <Manager/>
  <Company>Media Pensioen Diensten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Dennie Terschegget</dc:creator>
  <cp:keywords/>
  <dc:description/>
  <cp:lastModifiedBy>Dennie Terschegget</cp:lastModifiedBy>
  <cp:revision/>
  <dcterms:created xsi:type="dcterms:W3CDTF">2025-01-17T08:37:12Z</dcterms:created>
  <dcterms:modified xsi:type="dcterms:W3CDTF">2025-06-05T11:55:17Z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0x0101004DFE475D0718114FB2E9B53627B4F2B9</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